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Pivovar\Desktop\сайт\Фінлайн\Финал\"/>
    </mc:Choice>
  </mc:AlternateContent>
  <workbookProtection workbookAlgorithmName="SHA-512" workbookHashValue="Zzyc1jwlOjvc6+MkrBotoBWVPMdsXKrc0/xvFmiGXbrpJ9z3KkkmQmw5d/C3XWTAeQl4zxTZEcC05MnkC1CM9Q==" workbookSaltValue="vQVHNTqevi/DOqjUYnaIZA==" workbookSpinCount="100000" lockStructure="1"/>
  <bookViews>
    <workbookView xWindow="0" yWindow="0" windowWidth="26310" windowHeight="11595"/>
  </bookViews>
  <sheets>
    <sheet name="Паспорт" sheetId="1" r:id="rId1"/>
    <sheet name="Графік" sheetId="3" r:id="rId2"/>
    <sheet name="Дод 1 до дог.кред." sheetId="4" r:id="rId3"/>
  </sheets>
  <definedNames>
    <definedName name="_xlnm.Print_Area" localSheetId="1">Графік!$A$1:$Q$265</definedName>
    <definedName name="_xlnm.Print_Area" localSheetId="0">Паспорт!$A$1:$C$64</definedName>
  </definedNames>
  <calcPr calcId="162913"/>
</workbook>
</file>

<file path=xl/calcChain.xml><?xml version="1.0" encoding="utf-8"?>
<calcChain xmlns="http://schemas.openxmlformats.org/spreadsheetml/2006/main">
  <c r="A55" i="1" l="1"/>
  <c r="B55" i="1"/>
  <c r="D54" i="1"/>
  <c r="AE2" i="3"/>
  <c r="A56" i="1" l="1"/>
  <c r="N24" i="3"/>
  <c r="O24" i="3" l="1"/>
  <c r="D55" i="1" l="1"/>
  <c r="B56" i="1" s="1"/>
  <c r="I29" i="4" l="1"/>
  <c r="P31" i="4" l="1"/>
  <c r="P30" i="4"/>
  <c r="P29" i="4"/>
  <c r="M257" i="4"/>
  <c r="M256" i="4"/>
  <c r="M255" i="4"/>
  <c r="M254" i="4"/>
  <c r="M253" i="4"/>
  <c r="M252" i="4"/>
  <c r="M251" i="4"/>
  <c r="M250" i="4"/>
  <c r="M249" i="4"/>
  <c r="M248" i="4"/>
  <c r="M247" i="4"/>
  <c r="M245" i="4"/>
  <c r="M244" i="4"/>
  <c r="M243" i="4"/>
  <c r="M242" i="4"/>
  <c r="M241" i="4"/>
  <c r="M240" i="4"/>
  <c r="M239" i="4"/>
  <c r="M238" i="4"/>
  <c r="M237" i="4"/>
  <c r="M236" i="4"/>
  <c r="M235" i="4"/>
  <c r="M233" i="4"/>
  <c r="M232" i="4"/>
  <c r="M231" i="4"/>
  <c r="M230" i="4"/>
  <c r="M229" i="4"/>
  <c r="M228" i="4"/>
  <c r="M227" i="4"/>
  <c r="M226" i="4"/>
  <c r="M225" i="4"/>
  <c r="M224" i="4"/>
  <c r="M223" i="4"/>
  <c r="M221" i="4"/>
  <c r="M220" i="4"/>
  <c r="M219" i="4"/>
  <c r="M218" i="4"/>
  <c r="M217" i="4"/>
  <c r="M216" i="4"/>
  <c r="M215" i="4"/>
  <c r="M214" i="4"/>
  <c r="M213" i="4"/>
  <c r="M212" i="4"/>
  <c r="M211" i="4"/>
  <c r="M209" i="4"/>
  <c r="M208" i="4"/>
  <c r="M207" i="4"/>
  <c r="M206" i="4"/>
  <c r="M205" i="4"/>
  <c r="M204" i="4"/>
  <c r="M203" i="4"/>
  <c r="M202" i="4"/>
  <c r="M201" i="4"/>
  <c r="M200" i="4"/>
  <c r="M199" i="4"/>
  <c r="M197" i="4"/>
  <c r="M196" i="4"/>
  <c r="M195" i="4"/>
  <c r="M194" i="4"/>
  <c r="M193" i="4"/>
  <c r="M192" i="4"/>
  <c r="M191" i="4"/>
  <c r="M190" i="4"/>
  <c r="M189" i="4"/>
  <c r="M188" i="4"/>
  <c r="M187" i="4"/>
  <c r="M185" i="4"/>
  <c r="M184" i="4"/>
  <c r="M183" i="4"/>
  <c r="M182" i="4"/>
  <c r="M181" i="4"/>
  <c r="M180" i="4"/>
  <c r="M179" i="4"/>
  <c r="M178" i="4"/>
  <c r="M177" i="4"/>
  <c r="M176" i="4"/>
  <c r="M175" i="4"/>
  <c r="M173" i="4"/>
  <c r="M172" i="4"/>
  <c r="M171" i="4"/>
  <c r="M170" i="4"/>
  <c r="M169" i="4"/>
  <c r="M168" i="4"/>
  <c r="M167" i="4"/>
  <c r="M166" i="4"/>
  <c r="M165" i="4"/>
  <c r="M164" i="4"/>
  <c r="M163" i="4"/>
  <c r="M161" i="4"/>
  <c r="M160" i="4"/>
  <c r="M159" i="4"/>
  <c r="M158" i="4"/>
  <c r="M157" i="4"/>
  <c r="M156" i="4"/>
  <c r="M155" i="4"/>
  <c r="M154" i="4"/>
  <c r="M153" i="4"/>
  <c r="M152" i="4"/>
  <c r="M151" i="4"/>
  <c r="M149" i="4"/>
  <c r="M148" i="4"/>
  <c r="M147" i="4"/>
  <c r="M146" i="4"/>
  <c r="M145" i="4"/>
  <c r="M144" i="4"/>
  <c r="M143" i="4"/>
  <c r="M142" i="4"/>
  <c r="M141" i="4"/>
  <c r="M140" i="4"/>
  <c r="M139" i="4"/>
  <c r="M137" i="4"/>
  <c r="M136" i="4"/>
  <c r="M135" i="4"/>
  <c r="M134" i="4"/>
  <c r="M133" i="4"/>
  <c r="M132" i="4"/>
  <c r="M131" i="4"/>
  <c r="M130" i="4"/>
  <c r="M129" i="4"/>
  <c r="M128" i="4"/>
  <c r="M127" i="4"/>
  <c r="M125" i="4"/>
  <c r="M124" i="4"/>
  <c r="M123" i="4"/>
  <c r="M122" i="4"/>
  <c r="M121" i="4"/>
  <c r="M120" i="4"/>
  <c r="M119" i="4"/>
  <c r="M118" i="4"/>
  <c r="M117" i="4"/>
  <c r="M116" i="4"/>
  <c r="M115" i="4"/>
  <c r="M113" i="4"/>
  <c r="M112" i="4"/>
  <c r="M111" i="4"/>
  <c r="M110" i="4"/>
  <c r="M109" i="4"/>
  <c r="M108" i="4"/>
  <c r="M107" i="4"/>
  <c r="M106" i="4"/>
  <c r="M105" i="4"/>
  <c r="M104" i="4"/>
  <c r="M103" i="4"/>
  <c r="M101" i="4"/>
  <c r="M100" i="4"/>
  <c r="M99" i="4"/>
  <c r="M98" i="4"/>
  <c r="M97" i="4"/>
  <c r="M96" i="4"/>
  <c r="M95" i="4"/>
  <c r="M94" i="4"/>
  <c r="M93" i="4"/>
  <c r="M92" i="4"/>
  <c r="M91" i="4"/>
  <c r="M89" i="4"/>
  <c r="M88" i="4"/>
  <c r="M87" i="4"/>
  <c r="M86" i="4"/>
  <c r="M85" i="4"/>
  <c r="M84" i="4"/>
  <c r="M83" i="4"/>
  <c r="M82" i="4"/>
  <c r="M81" i="4"/>
  <c r="M80" i="4"/>
  <c r="M79" i="4"/>
  <c r="M77" i="4"/>
  <c r="M76" i="4"/>
  <c r="M75" i="4"/>
  <c r="M74" i="4"/>
  <c r="M73" i="4"/>
  <c r="M72" i="4"/>
  <c r="M71" i="4"/>
  <c r="M70" i="4"/>
  <c r="M69" i="4"/>
  <c r="M68" i="4"/>
  <c r="M67" i="4"/>
  <c r="M65" i="4"/>
  <c r="M64" i="4"/>
  <c r="M63" i="4"/>
  <c r="M62" i="4"/>
  <c r="M61" i="4"/>
  <c r="M60" i="4"/>
  <c r="M59" i="4"/>
  <c r="M58" i="4"/>
  <c r="M57" i="4"/>
  <c r="M56" i="4"/>
  <c r="M55" i="4"/>
  <c r="M53" i="4"/>
  <c r="M52" i="4"/>
  <c r="M51" i="4"/>
  <c r="M50" i="4"/>
  <c r="M49" i="4"/>
  <c r="M48" i="4"/>
  <c r="M47" i="4"/>
  <c r="M46" i="4"/>
  <c r="M45" i="4"/>
  <c r="M44" i="4"/>
  <c r="M43" i="4"/>
  <c r="M41" i="4"/>
  <c r="M40" i="4"/>
  <c r="M39" i="4"/>
  <c r="M38" i="4"/>
  <c r="M37" i="4"/>
  <c r="M36" i="4"/>
  <c r="M35" i="4"/>
  <c r="M34" i="4"/>
  <c r="N33" i="4"/>
  <c r="M33" i="4"/>
  <c r="L33" i="4"/>
  <c r="K33" i="4"/>
  <c r="J33" i="4"/>
  <c r="N32" i="4"/>
  <c r="M32" i="4"/>
  <c r="L32" i="4"/>
  <c r="K32" i="4"/>
  <c r="J32" i="4"/>
  <c r="N31" i="4"/>
  <c r="M31" i="4"/>
  <c r="L31" i="4"/>
  <c r="K31" i="4"/>
  <c r="J31" i="4"/>
  <c r="N30" i="4"/>
  <c r="M30" i="4"/>
  <c r="L30" i="4"/>
  <c r="K30" i="4"/>
  <c r="J30" i="4"/>
  <c r="E4" i="4"/>
  <c r="E11" i="4"/>
  <c r="E17" i="4" s="1"/>
  <c r="O29" i="4"/>
  <c r="A30" i="4"/>
  <c r="H30" i="4"/>
  <c r="H31" i="4"/>
  <c r="H32" i="4"/>
  <c r="H36" i="4"/>
  <c r="C270" i="4"/>
  <c r="F17" i="4" l="1"/>
  <c r="G17" i="4"/>
  <c r="F17" i="3"/>
  <c r="G8" i="3"/>
  <c r="P14" i="3"/>
  <c r="P13" i="3"/>
  <c r="L24" i="3" s="1"/>
  <c r="P12" i="3"/>
  <c r="J24" i="3" s="1"/>
  <c r="O8" i="3"/>
  <c r="P8" i="3" s="1"/>
  <c r="P7" i="3"/>
  <c r="I24" i="3" s="1"/>
  <c r="P5" i="3"/>
  <c r="P3" i="3"/>
  <c r="B24" i="1" s="1"/>
  <c r="E13" i="1"/>
  <c r="B13" i="1" s="1"/>
  <c r="D39" i="1" l="1"/>
  <c r="N29" i="4"/>
  <c r="D36" i="1"/>
  <c r="K29" i="4"/>
  <c r="D37" i="1"/>
  <c r="L29" i="4"/>
  <c r="J29" i="4"/>
  <c r="D17" i="3"/>
  <c r="E37" i="1" l="1"/>
  <c r="B37" i="1" s="1"/>
  <c r="E36" i="1"/>
  <c r="B36" i="1" s="1"/>
  <c r="E39" i="1"/>
  <c r="B39" i="1" s="1"/>
  <c r="S265" i="3"/>
  <c r="F3" i="3" l="1"/>
  <c r="F10" i="3" s="1"/>
  <c r="E19" i="3" l="1"/>
  <c r="F14" i="3"/>
  <c r="D10" i="3"/>
  <c r="D8" i="3"/>
  <c r="D9" i="3"/>
  <c r="AB10" i="3"/>
  <c r="AB15" i="3" s="1"/>
  <c r="B21" i="1"/>
  <c r="G9" i="3"/>
  <c r="D4" i="3"/>
  <c r="P26" i="3" l="1"/>
  <c r="O31" i="4" s="1"/>
  <c r="P25" i="3"/>
  <c r="O30" i="4" s="1"/>
  <c r="D3" i="3"/>
  <c r="F11" i="3" s="1"/>
  <c r="A26" i="3"/>
  <c r="A31" i="4" s="1"/>
  <c r="D11" i="3" l="1"/>
  <c r="A17" i="4" s="1"/>
  <c r="Q27" i="3"/>
  <c r="P32" i="4" s="1"/>
  <c r="P27" i="3"/>
  <c r="O32" i="4" s="1"/>
  <c r="B24" i="3"/>
  <c r="A27" i="3"/>
  <c r="A32" i="4" s="1"/>
  <c r="Q28" i="3" l="1"/>
  <c r="P33" i="4" s="1"/>
  <c r="P28" i="3"/>
  <c r="O33" i="4" s="1"/>
  <c r="B27" i="3"/>
  <c r="C27" i="3" s="1"/>
  <c r="B25" i="3"/>
  <c r="B26" i="3"/>
  <c r="C26" i="3" s="1"/>
  <c r="C24" i="3"/>
  <c r="A28" i="3"/>
  <c r="N29" i="3" s="1"/>
  <c r="M28" i="3"/>
  <c r="H33" i="4" s="1"/>
  <c r="A33" i="4" l="1"/>
  <c r="B29" i="4"/>
  <c r="E8" i="4"/>
  <c r="E9" i="4" s="1"/>
  <c r="S26" i="3"/>
  <c r="T26" i="3" s="1"/>
  <c r="B31" i="4"/>
  <c r="U27" i="3"/>
  <c r="V27" i="3" s="1"/>
  <c r="B32" i="4"/>
  <c r="Q29" i="3"/>
  <c r="P34" i="4" s="1"/>
  <c r="P29" i="3"/>
  <c r="O34" i="4" s="1"/>
  <c r="B28" i="3"/>
  <c r="C25" i="3"/>
  <c r="D25" i="3"/>
  <c r="C30" i="4" s="1"/>
  <c r="D26" i="3"/>
  <c r="C31" i="4" s="1"/>
  <c r="D27" i="3"/>
  <c r="C32" i="4" s="1"/>
  <c r="U26" i="3"/>
  <c r="V26" i="3" s="1"/>
  <c r="S27" i="3"/>
  <c r="T27" i="3" s="1"/>
  <c r="A29" i="3"/>
  <c r="N30" i="3" s="1"/>
  <c r="M29" i="3"/>
  <c r="H34" i="4" s="1"/>
  <c r="A34" i="4" l="1"/>
  <c r="J35" i="4"/>
  <c r="C28" i="3"/>
  <c r="B33" i="4" s="1"/>
  <c r="J34" i="4"/>
  <c r="S25" i="3"/>
  <c r="T25" i="3" s="1"/>
  <c r="T24" i="3" s="1"/>
  <c r="B30" i="4"/>
  <c r="Q30" i="3"/>
  <c r="P35" i="4" s="1"/>
  <c r="P30" i="3"/>
  <c r="O35" i="4" s="1"/>
  <c r="L29" i="3"/>
  <c r="N34" i="4" s="1"/>
  <c r="I29" i="3"/>
  <c r="K34" i="4" s="1"/>
  <c r="J29" i="3"/>
  <c r="L34" i="4" s="1"/>
  <c r="D28" i="3"/>
  <c r="C33" i="4" s="1"/>
  <c r="B29" i="3"/>
  <c r="U25" i="3"/>
  <c r="V25" i="3" s="1"/>
  <c r="W25" i="3" s="1"/>
  <c r="W26" i="3"/>
  <c r="W27" i="3"/>
  <c r="A30" i="3"/>
  <c r="N31" i="3" s="1"/>
  <c r="M30" i="3"/>
  <c r="H35" i="4" s="1"/>
  <c r="S28" i="3" l="1"/>
  <c r="T28" i="3" s="1"/>
  <c r="A35" i="4"/>
  <c r="J36" i="4"/>
  <c r="U28" i="3"/>
  <c r="V28" i="3" s="1"/>
  <c r="W28" i="3" s="1"/>
  <c r="Q31" i="3"/>
  <c r="P36" i="4" s="1"/>
  <c r="P31" i="3"/>
  <c r="O36" i="4" s="1"/>
  <c r="L30" i="3"/>
  <c r="N35" i="4" s="1"/>
  <c r="I30" i="3"/>
  <c r="K35" i="4" s="1"/>
  <c r="J30" i="3"/>
  <c r="L35" i="4" s="1"/>
  <c r="C29" i="3"/>
  <c r="B34" i="4" s="1"/>
  <c r="D29" i="3"/>
  <c r="C34" i="4" s="1"/>
  <c r="B30" i="3"/>
  <c r="A31" i="3"/>
  <c r="N32" i="3" s="1"/>
  <c r="A36" i="4" l="1"/>
  <c r="J37" i="4"/>
  <c r="Q32" i="3"/>
  <c r="P37" i="4" s="1"/>
  <c r="P32" i="3"/>
  <c r="O37" i="4" s="1"/>
  <c r="L31" i="3"/>
  <c r="N36" i="4" s="1"/>
  <c r="I31" i="3"/>
  <c r="K36" i="4" s="1"/>
  <c r="J31" i="3"/>
  <c r="L36" i="4" s="1"/>
  <c r="U29" i="3"/>
  <c r="V29" i="3" s="1"/>
  <c r="W29" i="3" s="1"/>
  <c r="S29" i="3"/>
  <c r="T29" i="3" s="1"/>
  <c r="C30" i="3"/>
  <c r="B35" i="4" s="1"/>
  <c r="D30" i="3"/>
  <c r="C35" i="4" s="1"/>
  <c r="B31" i="3"/>
  <c r="A32" i="3"/>
  <c r="N33" i="3" s="1"/>
  <c r="M32" i="3"/>
  <c r="H37" i="4" s="1"/>
  <c r="A37" i="4" l="1"/>
  <c r="J38" i="4"/>
  <c r="Q33" i="3"/>
  <c r="P38" i="4" s="1"/>
  <c r="P33" i="3"/>
  <c r="O38" i="4" s="1"/>
  <c r="L32" i="3"/>
  <c r="N37" i="4" s="1"/>
  <c r="I32" i="3"/>
  <c r="K37" i="4" s="1"/>
  <c r="J32" i="3"/>
  <c r="L37" i="4" s="1"/>
  <c r="U30" i="3"/>
  <c r="V30" i="3" s="1"/>
  <c r="W30" i="3" s="1"/>
  <c r="B32" i="3"/>
  <c r="S30" i="3"/>
  <c r="T30" i="3" s="1"/>
  <c r="C31" i="3"/>
  <c r="D31" i="3"/>
  <c r="C36" i="4" s="1"/>
  <c r="A33" i="3"/>
  <c r="N34" i="3" s="1"/>
  <c r="M33" i="3"/>
  <c r="H38" i="4" s="1"/>
  <c r="A38" i="4" l="1"/>
  <c r="J39" i="4"/>
  <c r="U31" i="3"/>
  <c r="V31" i="3" s="1"/>
  <c r="W31" i="3" s="1"/>
  <c r="B36" i="4"/>
  <c r="Q34" i="3"/>
  <c r="P39" i="4" s="1"/>
  <c r="P34" i="3"/>
  <c r="O39" i="4" s="1"/>
  <c r="L33" i="3"/>
  <c r="N38" i="4" s="1"/>
  <c r="I33" i="3"/>
  <c r="K38" i="4" s="1"/>
  <c r="J33" i="3"/>
  <c r="L38" i="4" s="1"/>
  <c r="S31" i="3"/>
  <c r="T31" i="3" s="1"/>
  <c r="M34" i="3"/>
  <c r="H39" i="4" s="1"/>
  <c r="B33" i="3"/>
  <c r="C32" i="3"/>
  <c r="D32" i="3"/>
  <c r="C37" i="4" s="1"/>
  <c r="A34" i="3"/>
  <c r="N35" i="3" s="1"/>
  <c r="A39" i="4" l="1"/>
  <c r="J40" i="4"/>
  <c r="U32" i="3"/>
  <c r="V32" i="3" s="1"/>
  <c r="W32" i="3" s="1"/>
  <c r="B37" i="4"/>
  <c r="Q35" i="3"/>
  <c r="P40" i="4" s="1"/>
  <c r="P35" i="3"/>
  <c r="O40" i="4" s="1"/>
  <c r="L34" i="3"/>
  <c r="N39" i="4" s="1"/>
  <c r="I34" i="3"/>
  <c r="K39" i="4" s="1"/>
  <c r="J34" i="3"/>
  <c r="L39" i="4" s="1"/>
  <c r="C33" i="3"/>
  <c r="D33" i="3"/>
  <c r="C38" i="4" s="1"/>
  <c r="S32" i="3"/>
  <c r="T32" i="3" s="1"/>
  <c r="M35" i="3"/>
  <c r="H40" i="4" s="1"/>
  <c r="B34" i="3"/>
  <c r="A35" i="3"/>
  <c r="N36" i="3" s="1"/>
  <c r="A40" i="4" l="1"/>
  <c r="J41" i="4"/>
  <c r="S33" i="3"/>
  <c r="T33" i="3" s="1"/>
  <c r="B38" i="4"/>
  <c r="Q36" i="3"/>
  <c r="P41" i="4" s="1"/>
  <c r="P36" i="3"/>
  <c r="O41" i="4" s="1"/>
  <c r="L35" i="3"/>
  <c r="N40" i="4" s="1"/>
  <c r="I35" i="3"/>
  <c r="K40" i="4" s="1"/>
  <c r="J35" i="3"/>
  <c r="L40" i="4" s="1"/>
  <c r="U33" i="3"/>
  <c r="V33" i="3" s="1"/>
  <c r="W33" i="3" s="1"/>
  <c r="M36" i="3"/>
  <c r="H41" i="4" s="1"/>
  <c r="B35" i="3"/>
  <c r="C34" i="3"/>
  <c r="D34" i="3"/>
  <c r="C39" i="4" s="1"/>
  <c r="A36" i="3"/>
  <c r="N37" i="3" s="1"/>
  <c r="AE3" i="3" s="1"/>
  <c r="A41" i="4" l="1"/>
  <c r="J42" i="4"/>
  <c r="S34" i="3"/>
  <c r="T34" i="3" s="1"/>
  <c r="B39" i="4"/>
  <c r="L36" i="3"/>
  <c r="N41" i="4" s="1"/>
  <c r="I36" i="3"/>
  <c r="K41" i="4" s="1"/>
  <c r="J36" i="3"/>
  <c r="L41" i="4" s="1"/>
  <c r="U34" i="3"/>
  <c r="V34" i="3" s="1"/>
  <c r="W34" i="3" s="1"/>
  <c r="C35" i="3"/>
  <c r="D35" i="3"/>
  <c r="C40" i="4" s="1"/>
  <c r="M37" i="3"/>
  <c r="H42" i="4" s="1"/>
  <c r="B36" i="3"/>
  <c r="A37" i="3"/>
  <c r="N38" i="3" s="1"/>
  <c r="A42" i="4" l="1"/>
  <c r="J43" i="4"/>
  <c r="S35" i="3"/>
  <c r="T35" i="3" s="1"/>
  <c r="B40" i="4"/>
  <c r="Q38" i="3"/>
  <c r="P43" i="4" s="1"/>
  <c r="P38" i="3"/>
  <c r="O43" i="4" s="1"/>
  <c r="L37" i="3"/>
  <c r="N42" i="4" s="1"/>
  <c r="L38" i="3"/>
  <c r="N43" i="4" s="1"/>
  <c r="I38" i="3"/>
  <c r="K43" i="4" s="1"/>
  <c r="I37" i="3"/>
  <c r="K42" i="4" s="1"/>
  <c r="J38" i="3"/>
  <c r="L43" i="4" s="1"/>
  <c r="J37" i="3"/>
  <c r="L42" i="4" s="1"/>
  <c r="U35" i="3"/>
  <c r="V35" i="3" s="1"/>
  <c r="W35" i="3" s="1"/>
  <c r="M38" i="3"/>
  <c r="H43" i="4" s="1"/>
  <c r="B37" i="3"/>
  <c r="C37" i="3" s="1"/>
  <c r="B42" i="4" s="1"/>
  <c r="C36" i="3"/>
  <c r="D36" i="3"/>
  <c r="C41" i="4" s="1"/>
  <c r="A38" i="3"/>
  <c r="N39" i="3" s="1"/>
  <c r="A43" i="4" l="1"/>
  <c r="J44" i="4"/>
  <c r="U36" i="3"/>
  <c r="V36" i="3" s="1"/>
  <c r="W36" i="3" s="1"/>
  <c r="B41" i="4"/>
  <c r="Q39" i="3"/>
  <c r="P44" i="4" s="1"/>
  <c r="P39" i="3"/>
  <c r="O44" i="4" s="1"/>
  <c r="L39" i="3"/>
  <c r="N44" i="4" s="1"/>
  <c r="I39" i="3"/>
  <c r="K44" i="4" s="1"/>
  <c r="J39" i="3"/>
  <c r="L44" i="4" s="1"/>
  <c r="S36" i="3"/>
  <c r="T36" i="3" s="1"/>
  <c r="D37" i="3"/>
  <c r="C42" i="4" s="1"/>
  <c r="M39" i="3"/>
  <c r="H44" i="4" s="1"/>
  <c r="B38" i="3"/>
  <c r="C38" i="3" s="1"/>
  <c r="S37" i="3"/>
  <c r="T37" i="3" s="1"/>
  <c r="U37" i="3"/>
  <c r="V37" i="3" s="1"/>
  <c r="A39" i="3"/>
  <c r="N40" i="3" s="1"/>
  <c r="A44" i="4" l="1"/>
  <c r="J45" i="4"/>
  <c r="D38" i="3"/>
  <c r="C43" i="4" s="1"/>
  <c r="B43" i="4"/>
  <c r="Q40" i="3"/>
  <c r="P45" i="4" s="1"/>
  <c r="P40" i="3"/>
  <c r="O45" i="4" s="1"/>
  <c r="L40" i="3"/>
  <c r="N45" i="4" s="1"/>
  <c r="I40" i="3"/>
  <c r="K45" i="4" s="1"/>
  <c r="J40" i="3"/>
  <c r="L45" i="4" s="1"/>
  <c r="W37" i="3"/>
  <c r="M40" i="3"/>
  <c r="H45" i="4" s="1"/>
  <c r="B39" i="3"/>
  <c r="C39" i="3" s="1"/>
  <c r="U38" i="3"/>
  <c r="V38" i="3" s="1"/>
  <c r="S38" i="3"/>
  <c r="T38" i="3" s="1"/>
  <c r="A40" i="3"/>
  <c r="N41" i="3" s="1"/>
  <c r="A45" i="4" l="1"/>
  <c r="J46" i="4"/>
  <c r="W38" i="3"/>
  <c r="Q37" i="3"/>
  <c r="P42" i="4" s="1"/>
  <c r="D39" i="3"/>
  <c r="C44" i="4" s="1"/>
  <c r="B44" i="4"/>
  <c r="Q41" i="3"/>
  <c r="P46" i="4" s="1"/>
  <c r="P41" i="3"/>
  <c r="O46" i="4" s="1"/>
  <c r="L41" i="3"/>
  <c r="N46" i="4" s="1"/>
  <c r="I41" i="3"/>
  <c r="K46" i="4" s="1"/>
  <c r="J41" i="3"/>
  <c r="L46" i="4" s="1"/>
  <c r="M41" i="3"/>
  <c r="H46" i="4" s="1"/>
  <c r="B40" i="3"/>
  <c r="C40" i="3" s="1"/>
  <c r="A41" i="3"/>
  <c r="N42" i="3" s="1"/>
  <c r="S39" i="3"/>
  <c r="T39" i="3" s="1"/>
  <c r="U39" i="3"/>
  <c r="V39" i="3" s="1"/>
  <c r="A46" i="4" l="1"/>
  <c r="J47" i="4"/>
  <c r="W39" i="3"/>
  <c r="D40" i="3"/>
  <c r="C45" i="4" s="1"/>
  <c r="B45" i="4"/>
  <c r="Q42" i="3"/>
  <c r="P47" i="4" s="1"/>
  <c r="P42" i="3"/>
  <c r="O47" i="4" s="1"/>
  <c r="L42" i="3"/>
  <c r="N47" i="4" s="1"/>
  <c r="I42" i="3"/>
  <c r="K47" i="4" s="1"/>
  <c r="J42" i="3"/>
  <c r="L47" i="4" s="1"/>
  <c r="M42" i="3"/>
  <c r="H47" i="4" s="1"/>
  <c r="B41" i="3"/>
  <c r="C41" i="3" s="1"/>
  <c r="S40" i="3"/>
  <c r="U40" i="3"/>
  <c r="V40" i="3" s="1"/>
  <c r="A42" i="3"/>
  <c r="N43" i="3" s="1"/>
  <c r="A47" i="4" l="1"/>
  <c r="J48" i="4"/>
  <c r="W40" i="3"/>
  <c r="D41" i="3"/>
  <c r="C46" i="4" s="1"/>
  <c r="B46" i="4"/>
  <c r="Q43" i="3"/>
  <c r="P48" i="4" s="1"/>
  <c r="P43" i="3"/>
  <c r="O48" i="4" s="1"/>
  <c r="L43" i="3"/>
  <c r="N48" i="4" s="1"/>
  <c r="I43" i="3"/>
  <c r="K48" i="4" s="1"/>
  <c r="J43" i="3"/>
  <c r="L48" i="4" s="1"/>
  <c r="M43" i="3"/>
  <c r="H48" i="4" s="1"/>
  <c r="B42" i="3"/>
  <c r="C42" i="3" s="1"/>
  <c r="T40" i="3"/>
  <c r="S41" i="3"/>
  <c r="T41" i="3" s="1"/>
  <c r="U41" i="3"/>
  <c r="V41" i="3" s="1"/>
  <c r="A43" i="3"/>
  <c r="N44" i="3" s="1"/>
  <c r="W41" i="3" l="1"/>
  <c r="A48" i="4"/>
  <c r="J49" i="4"/>
  <c r="D42" i="3"/>
  <c r="C47" i="4" s="1"/>
  <c r="B47" i="4"/>
  <c r="Q44" i="3"/>
  <c r="P49" i="4" s="1"/>
  <c r="P44" i="3"/>
  <c r="O49" i="4" s="1"/>
  <c r="L44" i="3"/>
  <c r="N49" i="4" s="1"/>
  <c r="I44" i="3"/>
  <c r="K49" i="4" s="1"/>
  <c r="J44" i="3"/>
  <c r="L49" i="4" s="1"/>
  <c r="M44" i="3"/>
  <c r="H49" i="4" s="1"/>
  <c r="B43" i="3"/>
  <c r="C43" i="3" s="1"/>
  <c r="U42" i="3"/>
  <c r="V42" i="3" s="1"/>
  <c r="S42" i="3"/>
  <c r="T42" i="3" s="1"/>
  <c r="A44" i="3"/>
  <c r="N45" i="3" s="1"/>
  <c r="W42" i="3" l="1"/>
  <c r="A49" i="4"/>
  <c r="J50" i="4"/>
  <c r="D43" i="3"/>
  <c r="C48" i="4" s="1"/>
  <c r="B48" i="4"/>
  <c r="Q45" i="3"/>
  <c r="P50" i="4" s="1"/>
  <c r="P45" i="3"/>
  <c r="O50" i="4" s="1"/>
  <c r="L45" i="3"/>
  <c r="N50" i="4" s="1"/>
  <c r="I45" i="3"/>
  <c r="K50" i="4" s="1"/>
  <c r="J45" i="3"/>
  <c r="L50" i="4" s="1"/>
  <c r="M45" i="3"/>
  <c r="H50" i="4" s="1"/>
  <c r="B44" i="3"/>
  <c r="C44" i="3" s="1"/>
  <c r="A45" i="3"/>
  <c r="N46" i="3" s="1"/>
  <c r="S43" i="3"/>
  <c r="T43" i="3" s="1"/>
  <c r="U43" i="3"/>
  <c r="V43" i="3" s="1"/>
  <c r="A50" i="4" l="1"/>
  <c r="J51" i="4"/>
  <c r="W43" i="3"/>
  <c r="D44" i="3"/>
  <c r="C49" i="4" s="1"/>
  <c r="B49" i="4"/>
  <c r="Q46" i="3"/>
  <c r="P51" i="4" s="1"/>
  <c r="P46" i="3"/>
  <c r="O51" i="4" s="1"/>
  <c r="L46" i="3"/>
  <c r="N51" i="4" s="1"/>
  <c r="I46" i="3"/>
  <c r="K51" i="4" s="1"/>
  <c r="J46" i="3"/>
  <c r="L51" i="4" s="1"/>
  <c r="M46" i="3"/>
  <c r="H51" i="4" s="1"/>
  <c r="B45" i="3"/>
  <c r="C45" i="3" s="1"/>
  <c r="U44" i="3"/>
  <c r="V44" i="3" s="1"/>
  <c r="S44" i="3"/>
  <c r="T44" i="3" s="1"/>
  <c r="A46" i="3"/>
  <c r="N47" i="3" s="1"/>
  <c r="A51" i="4" l="1"/>
  <c r="J52" i="4"/>
  <c r="W44" i="3"/>
  <c r="D45" i="3"/>
  <c r="C50" i="4" s="1"/>
  <c r="B50" i="4"/>
  <c r="Q47" i="3"/>
  <c r="P52" i="4" s="1"/>
  <c r="P47" i="3"/>
  <c r="O52" i="4" s="1"/>
  <c r="L47" i="3"/>
  <c r="N52" i="4" s="1"/>
  <c r="I47" i="3"/>
  <c r="K52" i="4" s="1"/>
  <c r="J47" i="3"/>
  <c r="L52" i="4" s="1"/>
  <c r="M47" i="3"/>
  <c r="H52" i="4" s="1"/>
  <c r="B46" i="3"/>
  <c r="C46" i="3" s="1"/>
  <c r="S45" i="3"/>
  <c r="T45" i="3" s="1"/>
  <c r="U45" i="3"/>
  <c r="V45" i="3" s="1"/>
  <c r="A47" i="3"/>
  <c r="N48" i="3" s="1"/>
  <c r="A52" i="4" l="1"/>
  <c r="J53" i="4"/>
  <c r="W45" i="3"/>
  <c r="D46" i="3"/>
  <c r="C51" i="4" s="1"/>
  <c r="B51" i="4"/>
  <c r="Q48" i="3"/>
  <c r="P53" i="4" s="1"/>
  <c r="P48" i="3"/>
  <c r="O53" i="4" s="1"/>
  <c r="L48" i="3"/>
  <c r="N53" i="4" s="1"/>
  <c r="J48" i="3"/>
  <c r="L53" i="4" s="1"/>
  <c r="I48" i="3"/>
  <c r="K53" i="4" s="1"/>
  <c r="M48" i="3"/>
  <c r="H53" i="4" s="1"/>
  <c r="B47" i="3"/>
  <c r="C47" i="3" s="1"/>
  <c r="U46" i="3"/>
  <c r="V46" i="3" s="1"/>
  <c r="S46" i="3"/>
  <c r="T46" i="3" s="1"/>
  <c r="A48" i="3"/>
  <c r="N49" i="3" s="1"/>
  <c r="AE4" i="3" s="1"/>
  <c r="W46" i="3" l="1"/>
  <c r="A53" i="4"/>
  <c r="J54" i="4"/>
  <c r="D47" i="3"/>
  <c r="C52" i="4" s="1"/>
  <c r="B52" i="4"/>
  <c r="L49" i="3"/>
  <c r="N54" i="4" s="1"/>
  <c r="J49" i="3"/>
  <c r="L54" i="4" s="1"/>
  <c r="I49" i="3"/>
  <c r="K54" i="4" s="1"/>
  <c r="M49" i="3"/>
  <c r="H54" i="4" s="1"/>
  <c r="B48" i="3"/>
  <c r="C48" i="3" s="1"/>
  <c r="A49" i="3"/>
  <c r="N50" i="3" s="1"/>
  <c r="S47" i="3"/>
  <c r="T47" i="3" s="1"/>
  <c r="U47" i="3"/>
  <c r="V47" i="3" s="1"/>
  <c r="A54" i="4" l="1"/>
  <c r="J55" i="4"/>
  <c r="W47" i="3"/>
  <c r="D48" i="3"/>
  <c r="C53" i="4" s="1"/>
  <c r="B53" i="4"/>
  <c r="Q50" i="3"/>
  <c r="P55" i="4" s="1"/>
  <c r="P50" i="3"/>
  <c r="O55" i="4" s="1"/>
  <c r="L50" i="3"/>
  <c r="N55" i="4" s="1"/>
  <c r="J50" i="3"/>
  <c r="L55" i="4" s="1"/>
  <c r="I50" i="3"/>
  <c r="K55" i="4" s="1"/>
  <c r="M50" i="3"/>
  <c r="H55" i="4" s="1"/>
  <c r="B49" i="3"/>
  <c r="C49" i="3" s="1"/>
  <c r="S48" i="3"/>
  <c r="T48" i="3" s="1"/>
  <c r="U48" i="3"/>
  <c r="V48" i="3" s="1"/>
  <c r="A50" i="3"/>
  <c r="N51" i="3" s="1"/>
  <c r="A55" i="4" l="1"/>
  <c r="J56" i="4"/>
  <c r="W48" i="3"/>
  <c r="D49" i="3"/>
  <c r="C54" i="4" s="1"/>
  <c r="B54" i="4"/>
  <c r="Q51" i="3"/>
  <c r="P56" i="4" s="1"/>
  <c r="P51" i="3"/>
  <c r="O56" i="4" s="1"/>
  <c r="L51" i="3"/>
  <c r="N56" i="4" s="1"/>
  <c r="J51" i="3"/>
  <c r="L56" i="4" s="1"/>
  <c r="I51" i="3"/>
  <c r="K56" i="4" s="1"/>
  <c r="M51" i="3"/>
  <c r="H56" i="4" s="1"/>
  <c r="B50" i="3"/>
  <c r="C50" i="3" s="1"/>
  <c r="U49" i="3"/>
  <c r="V49" i="3" s="1"/>
  <c r="S49" i="3"/>
  <c r="T49" i="3" s="1"/>
  <c r="A51" i="3"/>
  <c r="N52" i="3" s="1"/>
  <c r="A56" i="4" l="1"/>
  <c r="J57" i="4"/>
  <c r="W49" i="3"/>
  <c r="D50" i="3"/>
  <c r="C55" i="4" s="1"/>
  <c r="B55" i="4"/>
  <c r="Q52" i="3"/>
  <c r="P57" i="4" s="1"/>
  <c r="P52" i="3"/>
  <c r="O57" i="4" s="1"/>
  <c r="L52" i="3"/>
  <c r="N57" i="4" s="1"/>
  <c r="J52" i="3"/>
  <c r="L57" i="4" s="1"/>
  <c r="I52" i="3"/>
  <c r="K57" i="4" s="1"/>
  <c r="M52" i="3"/>
  <c r="H57" i="4" s="1"/>
  <c r="B51" i="3"/>
  <c r="C51" i="3" s="1"/>
  <c r="S50" i="3"/>
  <c r="T50" i="3" s="1"/>
  <c r="U50" i="3"/>
  <c r="V50" i="3" s="1"/>
  <c r="A52" i="3"/>
  <c r="N53" i="3" s="1"/>
  <c r="A57" i="4" l="1"/>
  <c r="J58" i="4"/>
  <c r="W50" i="3"/>
  <c r="Q49" i="3"/>
  <c r="P54" i="4" s="1"/>
  <c r="D51" i="3"/>
  <c r="C56" i="4" s="1"/>
  <c r="B56" i="4"/>
  <c r="Q53" i="3"/>
  <c r="P58" i="4" s="1"/>
  <c r="P53" i="3"/>
  <c r="O58" i="4" s="1"/>
  <c r="L53" i="3"/>
  <c r="N58" i="4" s="1"/>
  <c r="J53" i="3"/>
  <c r="L58" i="4" s="1"/>
  <c r="I53" i="3"/>
  <c r="K58" i="4" s="1"/>
  <c r="M53" i="3"/>
  <c r="H58" i="4" s="1"/>
  <c r="B52" i="3"/>
  <c r="C52" i="3" s="1"/>
  <c r="S51" i="3"/>
  <c r="T51" i="3" s="1"/>
  <c r="U51" i="3"/>
  <c r="V51" i="3" s="1"/>
  <c r="A53" i="3"/>
  <c r="N54" i="3" s="1"/>
  <c r="A58" i="4" l="1"/>
  <c r="J59" i="4"/>
  <c r="W51" i="3"/>
  <c r="D52" i="3"/>
  <c r="C57" i="4" s="1"/>
  <c r="B57" i="4"/>
  <c r="Q54" i="3"/>
  <c r="P59" i="4" s="1"/>
  <c r="P54" i="3"/>
  <c r="O59" i="4" s="1"/>
  <c r="L54" i="3"/>
  <c r="N59" i="4" s="1"/>
  <c r="J54" i="3"/>
  <c r="L59" i="4" s="1"/>
  <c r="I54" i="3"/>
  <c r="K59" i="4" s="1"/>
  <c r="M54" i="3"/>
  <c r="H59" i="4" s="1"/>
  <c r="B53" i="3"/>
  <c r="C53" i="3" s="1"/>
  <c r="U52" i="3"/>
  <c r="V52" i="3" s="1"/>
  <c r="S52" i="3"/>
  <c r="T52" i="3" s="1"/>
  <c r="A54" i="3"/>
  <c r="N55" i="3" s="1"/>
  <c r="W52" i="3" l="1"/>
  <c r="A59" i="4"/>
  <c r="J60" i="4"/>
  <c r="D53" i="3"/>
  <c r="C58" i="4" s="1"/>
  <c r="B58" i="4"/>
  <c r="Q55" i="3"/>
  <c r="P60" i="4" s="1"/>
  <c r="P55" i="3"/>
  <c r="O60" i="4" s="1"/>
  <c r="L55" i="3"/>
  <c r="N60" i="4" s="1"/>
  <c r="J55" i="3"/>
  <c r="L60" i="4" s="1"/>
  <c r="I55" i="3"/>
  <c r="K60" i="4" s="1"/>
  <c r="M55" i="3"/>
  <c r="H60" i="4" s="1"/>
  <c r="B54" i="3"/>
  <c r="C54" i="3" s="1"/>
  <c r="A55" i="3"/>
  <c r="N56" i="3" s="1"/>
  <c r="S53" i="3"/>
  <c r="T53" i="3" s="1"/>
  <c r="U53" i="3"/>
  <c r="V53" i="3" s="1"/>
  <c r="A60" i="4" l="1"/>
  <c r="J61" i="4"/>
  <c r="W53" i="3"/>
  <c r="D54" i="3"/>
  <c r="C59" i="4" s="1"/>
  <c r="B59" i="4"/>
  <c r="Q56" i="3"/>
  <c r="P61" i="4" s="1"/>
  <c r="P56" i="3"/>
  <c r="O61" i="4" s="1"/>
  <c r="L56" i="3"/>
  <c r="N61" i="4" s="1"/>
  <c r="J56" i="3"/>
  <c r="L61" i="4" s="1"/>
  <c r="I56" i="3"/>
  <c r="K61" i="4" s="1"/>
  <c r="M56" i="3"/>
  <c r="H61" i="4" s="1"/>
  <c r="B55" i="3"/>
  <c r="C55" i="3" s="1"/>
  <c r="S54" i="3"/>
  <c r="T54" i="3" s="1"/>
  <c r="U54" i="3"/>
  <c r="V54" i="3" s="1"/>
  <c r="A56" i="3"/>
  <c r="N57" i="3" s="1"/>
  <c r="W54" i="3" l="1"/>
  <c r="A61" i="4"/>
  <c r="J62" i="4"/>
  <c r="D55" i="3"/>
  <c r="C60" i="4" s="1"/>
  <c r="B60" i="4"/>
  <c r="Q57" i="3"/>
  <c r="P62" i="4" s="1"/>
  <c r="P57" i="3"/>
  <c r="O62" i="4" s="1"/>
  <c r="L57" i="3"/>
  <c r="N62" i="4" s="1"/>
  <c r="J57" i="3"/>
  <c r="L62" i="4" s="1"/>
  <c r="I57" i="3"/>
  <c r="K62" i="4" s="1"/>
  <c r="M57" i="3"/>
  <c r="H62" i="4" s="1"/>
  <c r="B56" i="3"/>
  <c r="C56" i="3" s="1"/>
  <c r="A57" i="3"/>
  <c r="N58" i="3" s="1"/>
  <c r="U55" i="3"/>
  <c r="V55" i="3" s="1"/>
  <c r="S55" i="3"/>
  <c r="T55" i="3" s="1"/>
  <c r="A62" i="4" l="1"/>
  <c r="J63" i="4"/>
  <c r="W55" i="3"/>
  <c r="D56" i="3"/>
  <c r="C61" i="4" s="1"/>
  <c r="B61" i="4"/>
  <c r="Q58" i="3"/>
  <c r="P63" i="4" s="1"/>
  <c r="P58" i="3"/>
  <c r="O63" i="4" s="1"/>
  <c r="L58" i="3"/>
  <c r="N63" i="4" s="1"/>
  <c r="J58" i="3"/>
  <c r="L63" i="4" s="1"/>
  <c r="I58" i="3"/>
  <c r="K63" i="4" s="1"/>
  <c r="M58" i="3"/>
  <c r="H63" i="4" s="1"/>
  <c r="B57" i="3"/>
  <c r="C57" i="3" s="1"/>
  <c r="S56" i="3"/>
  <c r="T56" i="3" s="1"/>
  <c r="U56" i="3"/>
  <c r="V56" i="3" s="1"/>
  <c r="A58" i="3"/>
  <c r="N59" i="3" s="1"/>
  <c r="A63" i="4" l="1"/>
  <c r="J64" i="4"/>
  <c r="W56" i="3"/>
  <c r="D57" i="3"/>
  <c r="C62" i="4" s="1"/>
  <c r="B62" i="4"/>
  <c r="Q59" i="3"/>
  <c r="P64" i="4" s="1"/>
  <c r="P59" i="3"/>
  <c r="O64" i="4" s="1"/>
  <c r="L59" i="3"/>
  <c r="N64" i="4" s="1"/>
  <c r="J59" i="3"/>
  <c r="L64" i="4" s="1"/>
  <c r="I59" i="3"/>
  <c r="K64" i="4" s="1"/>
  <c r="M59" i="3"/>
  <c r="H64" i="4" s="1"/>
  <c r="B58" i="3"/>
  <c r="C58" i="3" s="1"/>
  <c r="S57" i="3"/>
  <c r="T57" i="3" s="1"/>
  <c r="U57" i="3"/>
  <c r="V57" i="3" s="1"/>
  <c r="A59" i="3"/>
  <c r="N60" i="3" s="1"/>
  <c r="A64" i="4" l="1"/>
  <c r="J65" i="4"/>
  <c r="W57" i="3"/>
  <c r="D58" i="3"/>
  <c r="C63" i="4" s="1"/>
  <c r="B63" i="4"/>
  <c r="Q60" i="3"/>
  <c r="P65" i="4" s="1"/>
  <c r="P60" i="3"/>
  <c r="O65" i="4" s="1"/>
  <c r="L60" i="3"/>
  <c r="N65" i="4" s="1"/>
  <c r="J60" i="3"/>
  <c r="L65" i="4" s="1"/>
  <c r="I60" i="3"/>
  <c r="K65" i="4" s="1"/>
  <c r="M60" i="3"/>
  <c r="H65" i="4" s="1"/>
  <c r="B59" i="3"/>
  <c r="C59" i="3" s="1"/>
  <c r="S58" i="3"/>
  <c r="T58" i="3" s="1"/>
  <c r="U58" i="3"/>
  <c r="V58" i="3" s="1"/>
  <c r="A60" i="3"/>
  <c r="N61" i="3" s="1"/>
  <c r="AE5" i="3" s="1"/>
  <c r="W58" i="3" l="1"/>
  <c r="A65" i="4"/>
  <c r="J66" i="4"/>
  <c r="D59" i="3"/>
  <c r="C64" i="4" s="1"/>
  <c r="B64" i="4"/>
  <c r="L61" i="3"/>
  <c r="N66" i="4" s="1"/>
  <c r="J61" i="3"/>
  <c r="L66" i="4" s="1"/>
  <c r="I61" i="3"/>
  <c r="K66" i="4" s="1"/>
  <c r="M61" i="3"/>
  <c r="H66" i="4" s="1"/>
  <c r="B60" i="3"/>
  <c r="C60" i="3" s="1"/>
  <c r="S59" i="3"/>
  <c r="T59" i="3" s="1"/>
  <c r="U59" i="3"/>
  <c r="V59" i="3" s="1"/>
  <c r="A61" i="3"/>
  <c r="N62" i="3" s="1"/>
  <c r="W59" i="3" l="1"/>
  <c r="A66" i="4"/>
  <c r="J67" i="4"/>
  <c r="D60" i="3"/>
  <c r="C65" i="4" s="1"/>
  <c r="B65" i="4"/>
  <c r="Q62" i="3"/>
  <c r="P67" i="4" s="1"/>
  <c r="P62" i="3"/>
  <c r="O67" i="4" s="1"/>
  <c r="L62" i="3"/>
  <c r="N67" i="4" s="1"/>
  <c r="J62" i="3"/>
  <c r="L67" i="4" s="1"/>
  <c r="I62" i="3"/>
  <c r="K67" i="4" s="1"/>
  <c r="M62" i="3"/>
  <c r="H67" i="4" s="1"/>
  <c r="B61" i="3"/>
  <c r="C61" i="3" s="1"/>
  <c r="S60" i="3"/>
  <c r="T60" i="3" s="1"/>
  <c r="U60" i="3"/>
  <c r="V60" i="3" s="1"/>
  <c r="A62" i="3"/>
  <c r="N63" i="3" s="1"/>
  <c r="A67" i="4" l="1"/>
  <c r="J68" i="4"/>
  <c r="W60" i="3"/>
  <c r="D61" i="3"/>
  <c r="C66" i="4" s="1"/>
  <c r="B66" i="4"/>
  <c r="Q63" i="3"/>
  <c r="P68" i="4" s="1"/>
  <c r="P63" i="3"/>
  <c r="O68" i="4" s="1"/>
  <c r="L63" i="3"/>
  <c r="N68" i="4" s="1"/>
  <c r="J63" i="3"/>
  <c r="L68" i="4" s="1"/>
  <c r="I63" i="3"/>
  <c r="K68" i="4" s="1"/>
  <c r="M63" i="3"/>
  <c r="H68" i="4" s="1"/>
  <c r="B62" i="3"/>
  <c r="C62" i="3" s="1"/>
  <c r="A63" i="3"/>
  <c r="N64" i="3" s="1"/>
  <c r="U61" i="3"/>
  <c r="V61" i="3" s="1"/>
  <c r="S61" i="3"/>
  <c r="T61" i="3" s="1"/>
  <c r="W61" i="3" l="1"/>
  <c r="A68" i="4"/>
  <c r="J69" i="4"/>
  <c r="D62" i="3"/>
  <c r="C67" i="4" s="1"/>
  <c r="B67" i="4"/>
  <c r="Q64" i="3"/>
  <c r="P69" i="4" s="1"/>
  <c r="P64" i="3"/>
  <c r="O69" i="4" s="1"/>
  <c r="L64" i="3"/>
  <c r="N69" i="4" s="1"/>
  <c r="J64" i="3"/>
  <c r="L69" i="4" s="1"/>
  <c r="I64" i="3"/>
  <c r="K69" i="4" s="1"/>
  <c r="M64" i="3"/>
  <c r="H69" i="4" s="1"/>
  <c r="B63" i="3"/>
  <c r="C63" i="3" s="1"/>
  <c r="S62" i="3"/>
  <c r="T62" i="3" s="1"/>
  <c r="U62" i="3"/>
  <c r="V62" i="3" s="1"/>
  <c r="A64" i="3"/>
  <c r="N65" i="3" s="1"/>
  <c r="Q61" i="3" l="1"/>
  <c r="P66" i="4" s="1"/>
  <c r="A69" i="4"/>
  <c r="J70" i="4"/>
  <c r="W62" i="3"/>
  <c r="D63" i="3"/>
  <c r="C68" i="4" s="1"/>
  <c r="B68" i="4"/>
  <c r="L65" i="3"/>
  <c r="N70" i="4" s="1"/>
  <c r="J65" i="3"/>
  <c r="L70" i="4" s="1"/>
  <c r="I65" i="3"/>
  <c r="K70" i="4" s="1"/>
  <c r="M65" i="3"/>
  <c r="H70" i="4" s="1"/>
  <c r="B64" i="3"/>
  <c r="C64" i="3" s="1"/>
  <c r="S63" i="3"/>
  <c r="T63" i="3" s="1"/>
  <c r="U63" i="3"/>
  <c r="V63" i="3" s="1"/>
  <c r="A65" i="3"/>
  <c r="N66" i="3" s="1"/>
  <c r="A70" i="4" l="1"/>
  <c r="J71" i="4"/>
  <c r="W63" i="3"/>
  <c r="D64" i="3"/>
  <c r="C69" i="4" s="1"/>
  <c r="B69" i="4"/>
  <c r="Q66" i="3"/>
  <c r="P71" i="4" s="1"/>
  <c r="P66" i="3"/>
  <c r="O71" i="4" s="1"/>
  <c r="L66" i="3"/>
  <c r="N71" i="4" s="1"/>
  <c r="J66" i="3"/>
  <c r="L71" i="4" s="1"/>
  <c r="I66" i="3"/>
  <c r="K71" i="4" s="1"/>
  <c r="M66" i="3"/>
  <c r="H71" i="4" s="1"/>
  <c r="B65" i="3"/>
  <c r="C65" i="3" s="1"/>
  <c r="A66" i="3"/>
  <c r="N67" i="3" s="1"/>
  <c r="S64" i="3"/>
  <c r="T64" i="3" s="1"/>
  <c r="U64" i="3"/>
  <c r="V64" i="3" s="1"/>
  <c r="W64" i="3" l="1"/>
  <c r="A71" i="4"/>
  <c r="J72" i="4"/>
  <c r="D65" i="3"/>
  <c r="C70" i="4" s="1"/>
  <c r="B70" i="4"/>
  <c r="Q67" i="3"/>
  <c r="P72" i="4" s="1"/>
  <c r="P67" i="3"/>
  <c r="O72" i="4" s="1"/>
  <c r="L67" i="3"/>
  <c r="N72" i="4" s="1"/>
  <c r="J67" i="3"/>
  <c r="L72" i="4" s="1"/>
  <c r="I67" i="3"/>
  <c r="K72" i="4" s="1"/>
  <c r="M67" i="3"/>
  <c r="H72" i="4" s="1"/>
  <c r="B66" i="3"/>
  <c r="C66" i="3" s="1"/>
  <c r="S65" i="3"/>
  <c r="T65" i="3" s="1"/>
  <c r="U65" i="3"/>
  <c r="V65" i="3" s="1"/>
  <c r="A67" i="3"/>
  <c r="N68" i="3" s="1"/>
  <c r="A72" i="4" l="1"/>
  <c r="J73" i="4"/>
  <c r="W65" i="3"/>
  <c r="D66" i="3"/>
  <c r="C71" i="4" s="1"/>
  <c r="B71" i="4"/>
  <c r="Q68" i="3"/>
  <c r="P73" i="4" s="1"/>
  <c r="P68" i="3"/>
  <c r="O73" i="4" s="1"/>
  <c r="L68" i="3"/>
  <c r="N73" i="4" s="1"/>
  <c r="J68" i="3"/>
  <c r="L73" i="4" s="1"/>
  <c r="I68" i="3"/>
  <c r="K73" i="4" s="1"/>
  <c r="M68" i="3"/>
  <c r="H73" i="4" s="1"/>
  <c r="B67" i="3"/>
  <c r="C67" i="3" s="1"/>
  <c r="S66" i="3"/>
  <c r="T66" i="3" s="1"/>
  <c r="U66" i="3"/>
  <c r="V66" i="3" s="1"/>
  <c r="A68" i="3"/>
  <c r="N69" i="3" s="1"/>
  <c r="A73" i="4" l="1"/>
  <c r="J74" i="4"/>
  <c r="W66" i="3"/>
  <c r="D67" i="3"/>
  <c r="C72" i="4" s="1"/>
  <c r="B72" i="4"/>
  <c r="Q69" i="3"/>
  <c r="P74" i="4" s="1"/>
  <c r="P69" i="3"/>
  <c r="O74" i="4" s="1"/>
  <c r="L69" i="3"/>
  <c r="N74" i="4" s="1"/>
  <c r="J69" i="3"/>
  <c r="L74" i="4" s="1"/>
  <c r="I69" i="3"/>
  <c r="K74" i="4" s="1"/>
  <c r="M69" i="3"/>
  <c r="H74" i="4" s="1"/>
  <c r="B68" i="3"/>
  <c r="C68" i="3" s="1"/>
  <c r="S67" i="3"/>
  <c r="U67" i="3"/>
  <c r="V67" i="3" s="1"/>
  <c r="A69" i="3"/>
  <c r="N70" i="3" s="1"/>
  <c r="A74" i="4" l="1"/>
  <c r="J75" i="4"/>
  <c r="W67" i="3"/>
  <c r="D68" i="3"/>
  <c r="C73" i="4" s="1"/>
  <c r="B73" i="4"/>
  <c r="Q70" i="3"/>
  <c r="P75" i="4" s="1"/>
  <c r="P70" i="3"/>
  <c r="O75" i="4" s="1"/>
  <c r="L70" i="3"/>
  <c r="N75" i="4" s="1"/>
  <c r="J70" i="3"/>
  <c r="L75" i="4" s="1"/>
  <c r="I70" i="3"/>
  <c r="K75" i="4" s="1"/>
  <c r="M70" i="3"/>
  <c r="H75" i="4" s="1"/>
  <c r="B69" i="3"/>
  <c r="C69" i="3" s="1"/>
  <c r="T67" i="3"/>
  <c r="A70" i="3"/>
  <c r="N71" i="3" s="1"/>
  <c r="U68" i="3"/>
  <c r="V68" i="3" s="1"/>
  <c r="S68" i="3"/>
  <c r="T68" i="3" s="1"/>
  <c r="A75" i="4" l="1"/>
  <c r="J76" i="4"/>
  <c r="W68" i="3"/>
  <c r="D69" i="3"/>
  <c r="C74" i="4" s="1"/>
  <c r="B74" i="4"/>
  <c r="Q71" i="3"/>
  <c r="P76" i="4" s="1"/>
  <c r="P71" i="3"/>
  <c r="O76" i="4" s="1"/>
  <c r="L71" i="3"/>
  <c r="N76" i="4" s="1"/>
  <c r="J71" i="3"/>
  <c r="L76" i="4" s="1"/>
  <c r="I71" i="3"/>
  <c r="K76" i="4" s="1"/>
  <c r="M71" i="3"/>
  <c r="H76" i="4" s="1"/>
  <c r="B70" i="3"/>
  <c r="C70" i="3" s="1"/>
  <c r="S69" i="3"/>
  <c r="T69" i="3" s="1"/>
  <c r="U69" i="3"/>
  <c r="V69" i="3" s="1"/>
  <c r="A71" i="3"/>
  <c r="N72" i="3" s="1"/>
  <c r="A76" i="4" l="1"/>
  <c r="J77" i="4"/>
  <c r="W69" i="3"/>
  <c r="D70" i="3"/>
  <c r="C75" i="4" s="1"/>
  <c r="B75" i="4"/>
  <c r="Q72" i="3"/>
  <c r="P77" i="4" s="1"/>
  <c r="P72" i="3"/>
  <c r="O77" i="4" s="1"/>
  <c r="L72" i="3"/>
  <c r="N77" i="4" s="1"/>
  <c r="J72" i="3"/>
  <c r="L77" i="4" s="1"/>
  <c r="I72" i="3"/>
  <c r="K77" i="4" s="1"/>
  <c r="M72" i="3"/>
  <c r="H77" i="4" s="1"/>
  <c r="B71" i="3"/>
  <c r="C71" i="3" s="1"/>
  <c r="U70" i="3"/>
  <c r="V70" i="3" s="1"/>
  <c r="S70" i="3"/>
  <c r="A72" i="3"/>
  <c r="N73" i="3" s="1"/>
  <c r="AE6" i="3" s="1"/>
  <c r="A77" i="4" l="1"/>
  <c r="J78" i="4"/>
  <c r="W70" i="3"/>
  <c r="D71" i="3"/>
  <c r="C76" i="4" s="1"/>
  <c r="B76" i="4"/>
  <c r="Q73" i="3"/>
  <c r="P78" i="4" s="1"/>
  <c r="P73" i="3"/>
  <c r="O78" i="4" s="1"/>
  <c r="L73" i="3"/>
  <c r="N78" i="4" s="1"/>
  <c r="J73" i="3"/>
  <c r="L78" i="4" s="1"/>
  <c r="I73" i="3"/>
  <c r="K78" i="4" s="1"/>
  <c r="M73" i="3"/>
  <c r="H78" i="4" s="1"/>
  <c r="B72" i="3"/>
  <c r="C72" i="3" s="1"/>
  <c r="T70" i="3"/>
  <c r="A73" i="3"/>
  <c r="N74" i="3" s="1"/>
  <c r="U71" i="3"/>
  <c r="V71" i="3" s="1"/>
  <c r="S71" i="3"/>
  <c r="T71" i="3" s="1"/>
  <c r="A78" i="4" l="1"/>
  <c r="J79" i="4"/>
  <c r="W71" i="3"/>
  <c r="D72" i="3"/>
  <c r="C77" i="4" s="1"/>
  <c r="B77" i="4"/>
  <c r="Q74" i="3"/>
  <c r="P79" i="4" s="1"/>
  <c r="P74" i="3"/>
  <c r="O79" i="4" s="1"/>
  <c r="L74" i="3"/>
  <c r="N79" i="4" s="1"/>
  <c r="J74" i="3"/>
  <c r="L79" i="4" s="1"/>
  <c r="I74" i="3"/>
  <c r="K79" i="4" s="1"/>
  <c r="M74" i="3"/>
  <c r="H79" i="4" s="1"/>
  <c r="B73" i="3"/>
  <c r="C73" i="3" s="1"/>
  <c r="S72" i="3"/>
  <c r="T72" i="3" s="1"/>
  <c r="U72" i="3"/>
  <c r="V72" i="3" s="1"/>
  <c r="A74" i="3"/>
  <c r="N75" i="3" s="1"/>
  <c r="W72" i="3" l="1"/>
  <c r="A79" i="4"/>
  <c r="J80" i="4"/>
  <c r="D73" i="3"/>
  <c r="C78" i="4" s="1"/>
  <c r="B78" i="4"/>
  <c r="Q75" i="3"/>
  <c r="P80" i="4" s="1"/>
  <c r="P75" i="3"/>
  <c r="O80" i="4" s="1"/>
  <c r="L75" i="3"/>
  <c r="N80" i="4" s="1"/>
  <c r="J75" i="3"/>
  <c r="L80" i="4" s="1"/>
  <c r="I75" i="3"/>
  <c r="K80" i="4" s="1"/>
  <c r="M75" i="3"/>
  <c r="H80" i="4" s="1"/>
  <c r="B74" i="3"/>
  <c r="C74" i="3" s="1"/>
  <c r="U73" i="3"/>
  <c r="V73" i="3" s="1"/>
  <c r="S73" i="3"/>
  <c r="T73" i="3" s="1"/>
  <c r="A75" i="3"/>
  <c r="N76" i="3" s="1"/>
  <c r="A80" i="4" l="1"/>
  <c r="J81" i="4"/>
  <c r="W73" i="3"/>
  <c r="D74" i="3"/>
  <c r="C79" i="4" s="1"/>
  <c r="B79" i="4"/>
  <c r="Q76" i="3"/>
  <c r="P81" i="4" s="1"/>
  <c r="P76" i="3"/>
  <c r="O81" i="4" s="1"/>
  <c r="L76" i="3"/>
  <c r="N81" i="4" s="1"/>
  <c r="J76" i="3"/>
  <c r="L81" i="4" s="1"/>
  <c r="I76" i="3"/>
  <c r="K81" i="4" s="1"/>
  <c r="M76" i="3"/>
  <c r="H81" i="4" s="1"/>
  <c r="B75" i="3"/>
  <c r="C75" i="3" s="1"/>
  <c r="S74" i="3"/>
  <c r="T74" i="3" s="1"/>
  <c r="U74" i="3"/>
  <c r="V74" i="3" s="1"/>
  <c r="A76" i="3"/>
  <c r="N77" i="3" s="1"/>
  <c r="A81" i="4" l="1"/>
  <c r="J82" i="4"/>
  <c r="W74" i="3"/>
  <c r="D75" i="3"/>
  <c r="C80" i="4" s="1"/>
  <c r="B80" i="4"/>
  <c r="Q77" i="3"/>
  <c r="P82" i="4" s="1"/>
  <c r="P77" i="3"/>
  <c r="O82" i="4" s="1"/>
  <c r="L77" i="3"/>
  <c r="N82" i="4" s="1"/>
  <c r="J77" i="3"/>
  <c r="L82" i="4" s="1"/>
  <c r="I77" i="3"/>
  <c r="K82" i="4" s="1"/>
  <c r="M77" i="3"/>
  <c r="H82" i="4" s="1"/>
  <c r="B76" i="3"/>
  <c r="C76" i="3" s="1"/>
  <c r="S75" i="3"/>
  <c r="T75" i="3" s="1"/>
  <c r="U75" i="3"/>
  <c r="V75" i="3" s="1"/>
  <c r="A77" i="3"/>
  <c r="N78" i="3" s="1"/>
  <c r="W75" i="3" l="1"/>
  <c r="A82" i="4"/>
  <c r="J83" i="4"/>
  <c r="D76" i="3"/>
  <c r="C81" i="4" s="1"/>
  <c r="B81" i="4"/>
  <c r="Q78" i="3"/>
  <c r="P83" i="4" s="1"/>
  <c r="P78" i="3"/>
  <c r="O83" i="4" s="1"/>
  <c r="L78" i="3"/>
  <c r="N83" i="4" s="1"/>
  <c r="J78" i="3"/>
  <c r="L83" i="4" s="1"/>
  <c r="I78" i="3"/>
  <c r="K83" i="4" s="1"/>
  <c r="M78" i="3"/>
  <c r="H83" i="4" s="1"/>
  <c r="B77" i="3"/>
  <c r="C77" i="3" s="1"/>
  <c r="S76" i="3"/>
  <c r="U76" i="3"/>
  <c r="V76" i="3" s="1"/>
  <c r="A78" i="3"/>
  <c r="N79" i="3" s="1"/>
  <c r="A83" i="4" l="1"/>
  <c r="J84" i="4"/>
  <c r="W76" i="3"/>
  <c r="D77" i="3"/>
  <c r="C82" i="4" s="1"/>
  <c r="B82" i="4"/>
  <c r="Q79" i="3"/>
  <c r="P84" i="4" s="1"/>
  <c r="P79" i="3"/>
  <c r="O84" i="4" s="1"/>
  <c r="L79" i="3"/>
  <c r="N84" i="4" s="1"/>
  <c r="J79" i="3"/>
  <c r="L84" i="4" s="1"/>
  <c r="I79" i="3"/>
  <c r="K84" i="4" s="1"/>
  <c r="M79" i="3"/>
  <c r="H84" i="4" s="1"/>
  <c r="B78" i="3"/>
  <c r="C78" i="3" s="1"/>
  <c r="T76" i="3"/>
  <c r="S77" i="3"/>
  <c r="T77" i="3" s="1"/>
  <c r="U77" i="3"/>
  <c r="V77" i="3" s="1"/>
  <c r="A79" i="3"/>
  <c r="N80" i="3" s="1"/>
  <c r="A84" i="4" l="1"/>
  <c r="J85" i="4"/>
  <c r="W77" i="3"/>
  <c r="D78" i="3"/>
  <c r="C83" i="4" s="1"/>
  <c r="B83" i="4"/>
  <c r="Q80" i="3"/>
  <c r="P85" i="4" s="1"/>
  <c r="P80" i="3"/>
  <c r="O85" i="4" s="1"/>
  <c r="L80" i="3"/>
  <c r="N85" i="4" s="1"/>
  <c r="J80" i="3"/>
  <c r="L85" i="4" s="1"/>
  <c r="I80" i="3"/>
  <c r="K85" i="4" s="1"/>
  <c r="M80" i="3"/>
  <c r="H85" i="4" s="1"/>
  <c r="B79" i="3"/>
  <c r="C79" i="3" s="1"/>
  <c r="A80" i="3"/>
  <c r="N81" i="3" s="1"/>
  <c r="S78" i="3"/>
  <c r="T78" i="3" s="1"/>
  <c r="U78" i="3"/>
  <c r="V78" i="3" s="1"/>
  <c r="W78" i="3" l="1"/>
  <c r="A85" i="4"/>
  <c r="J86" i="4"/>
  <c r="D79" i="3"/>
  <c r="C84" i="4" s="1"/>
  <c r="B84" i="4"/>
  <c r="Q81" i="3"/>
  <c r="P86" i="4" s="1"/>
  <c r="P81" i="3"/>
  <c r="O86" i="4" s="1"/>
  <c r="L81" i="3"/>
  <c r="N86" i="4" s="1"/>
  <c r="J81" i="3"/>
  <c r="L86" i="4" s="1"/>
  <c r="I81" i="3"/>
  <c r="K86" i="4" s="1"/>
  <c r="M81" i="3"/>
  <c r="H86" i="4" s="1"/>
  <c r="B80" i="3"/>
  <c r="C80" i="3" s="1"/>
  <c r="S79" i="3"/>
  <c r="T79" i="3" s="1"/>
  <c r="U79" i="3"/>
  <c r="V79" i="3" s="1"/>
  <c r="A81" i="3"/>
  <c r="N82" i="3" s="1"/>
  <c r="W79" i="3" l="1"/>
  <c r="A86" i="4"/>
  <c r="J87" i="4"/>
  <c r="D80" i="3"/>
  <c r="C85" i="4" s="1"/>
  <c r="B85" i="4"/>
  <c r="Q82" i="3"/>
  <c r="P87" i="4" s="1"/>
  <c r="P82" i="3"/>
  <c r="O87" i="4" s="1"/>
  <c r="L82" i="3"/>
  <c r="N87" i="4" s="1"/>
  <c r="J82" i="3"/>
  <c r="L87" i="4" s="1"/>
  <c r="I82" i="3"/>
  <c r="K87" i="4" s="1"/>
  <c r="M82" i="3"/>
  <c r="H87" i="4" s="1"/>
  <c r="B81" i="3"/>
  <c r="C81" i="3" s="1"/>
  <c r="A82" i="3"/>
  <c r="N83" i="3" s="1"/>
  <c r="S80" i="3"/>
  <c r="T80" i="3" s="1"/>
  <c r="U80" i="3"/>
  <c r="V80" i="3" s="1"/>
  <c r="W80" i="3" l="1"/>
  <c r="A87" i="4"/>
  <c r="J88" i="4"/>
  <c r="D81" i="3"/>
  <c r="C86" i="4" s="1"/>
  <c r="B86" i="4"/>
  <c r="Q83" i="3"/>
  <c r="P88" i="4" s="1"/>
  <c r="P83" i="3"/>
  <c r="O88" i="4" s="1"/>
  <c r="L83" i="3"/>
  <c r="N88" i="4" s="1"/>
  <c r="J83" i="3"/>
  <c r="L88" i="4" s="1"/>
  <c r="I83" i="3"/>
  <c r="K88" i="4" s="1"/>
  <c r="M83" i="3"/>
  <c r="H88" i="4" s="1"/>
  <c r="B82" i="3"/>
  <c r="C82" i="3" s="1"/>
  <c r="S81" i="3"/>
  <c r="T81" i="3" s="1"/>
  <c r="U81" i="3"/>
  <c r="V81" i="3" s="1"/>
  <c r="A83" i="3"/>
  <c r="N84" i="3" s="1"/>
  <c r="A88" i="4" l="1"/>
  <c r="J89" i="4"/>
  <c r="W81" i="3"/>
  <c r="D82" i="3"/>
  <c r="C87" i="4" s="1"/>
  <c r="B87" i="4"/>
  <c r="Q84" i="3"/>
  <c r="P89" i="4" s="1"/>
  <c r="P84" i="3"/>
  <c r="O89" i="4" s="1"/>
  <c r="L84" i="3"/>
  <c r="N89" i="4" s="1"/>
  <c r="J84" i="3"/>
  <c r="L89" i="4" s="1"/>
  <c r="I84" i="3"/>
  <c r="K89" i="4" s="1"/>
  <c r="M84" i="3"/>
  <c r="H89" i="4" s="1"/>
  <c r="B83" i="3"/>
  <c r="C83" i="3" s="1"/>
  <c r="S82" i="3"/>
  <c r="T82" i="3" s="1"/>
  <c r="U82" i="3"/>
  <c r="V82" i="3" s="1"/>
  <c r="A84" i="3"/>
  <c r="N85" i="3" s="1"/>
  <c r="AE7" i="3" s="1"/>
  <c r="W82" i="3" l="1"/>
  <c r="A89" i="4"/>
  <c r="J90" i="4"/>
  <c r="D83" i="3"/>
  <c r="C88" i="4" s="1"/>
  <c r="B88" i="4"/>
  <c r="L85" i="3"/>
  <c r="N90" i="4" s="1"/>
  <c r="J85" i="3"/>
  <c r="L90" i="4" s="1"/>
  <c r="I85" i="3"/>
  <c r="K90" i="4" s="1"/>
  <c r="B84" i="3"/>
  <c r="C84" i="3" s="1"/>
  <c r="A85" i="3"/>
  <c r="N86" i="3" s="1"/>
  <c r="U83" i="3"/>
  <c r="V83" i="3" s="1"/>
  <c r="S83" i="3"/>
  <c r="T83" i="3" s="1"/>
  <c r="W83" i="3" l="1"/>
  <c r="A90" i="4"/>
  <c r="J91" i="4"/>
  <c r="D84" i="3"/>
  <c r="C89" i="4" s="1"/>
  <c r="B89" i="4"/>
  <c r="Q86" i="3"/>
  <c r="P91" i="4" s="1"/>
  <c r="P86" i="3"/>
  <c r="O91" i="4" s="1"/>
  <c r="L86" i="3"/>
  <c r="N91" i="4" s="1"/>
  <c r="J86" i="3"/>
  <c r="L91" i="4" s="1"/>
  <c r="I86" i="3"/>
  <c r="K91" i="4" s="1"/>
  <c r="M86" i="3"/>
  <c r="H91" i="4" s="1"/>
  <c r="B85" i="3"/>
  <c r="C85" i="3" s="1"/>
  <c r="A86" i="3"/>
  <c r="N87" i="3" s="1"/>
  <c r="S84" i="3"/>
  <c r="T84" i="3" s="1"/>
  <c r="U84" i="3"/>
  <c r="V84" i="3" s="1"/>
  <c r="A91" i="4" l="1"/>
  <c r="J92" i="4"/>
  <c r="W84" i="3"/>
  <c r="D85" i="3"/>
  <c r="C90" i="4" s="1"/>
  <c r="B90" i="4"/>
  <c r="Q87" i="3"/>
  <c r="P92" i="4" s="1"/>
  <c r="P87" i="3"/>
  <c r="O92" i="4" s="1"/>
  <c r="L87" i="3"/>
  <c r="N92" i="4" s="1"/>
  <c r="J87" i="3"/>
  <c r="L92" i="4" s="1"/>
  <c r="I87" i="3"/>
  <c r="K92" i="4" s="1"/>
  <c r="M87" i="3"/>
  <c r="H92" i="4" s="1"/>
  <c r="B86" i="3"/>
  <c r="C86" i="3" s="1"/>
  <c r="U85" i="3"/>
  <c r="V85" i="3" s="1"/>
  <c r="S85" i="3"/>
  <c r="T85" i="3" s="1"/>
  <c r="A87" i="3"/>
  <c r="N88" i="3" s="1"/>
  <c r="W85" i="3" l="1"/>
  <c r="A92" i="4"/>
  <c r="J93" i="4"/>
  <c r="D86" i="3"/>
  <c r="C91" i="4" s="1"/>
  <c r="B91" i="4"/>
  <c r="Q88" i="3"/>
  <c r="P93" i="4" s="1"/>
  <c r="P88" i="3"/>
  <c r="O93" i="4" s="1"/>
  <c r="L88" i="3"/>
  <c r="N93" i="4" s="1"/>
  <c r="J88" i="3"/>
  <c r="L93" i="4" s="1"/>
  <c r="I88" i="3"/>
  <c r="K93" i="4" s="1"/>
  <c r="M88" i="3"/>
  <c r="H93" i="4" s="1"/>
  <c r="B87" i="3"/>
  <c r="C87" i="3" s="1"/>
  <c r="U86" i="3"/>
  <c r="V86" i="3" s="1"/>
  <c r="S86" i="3"/>
  <c r="T86" i="3" s="1"/>
  <c r="A88" i="3"/>
  <c r="N89" i="3" s="1"/>
  <c r="W86" i="3" l="1"/>
  <c r="A93" i="4"/>
  <c r="J94" i="4"/>
  <c r="D87" i="3"/>
  <c r="C92" i="4" s="1"/>
  <c r="B92" i="4"/>
  <c r="Q89" i="3"/>
  <c r="P94" i="4" s="1"/>
  <c r="P89" i="3"/>
  <c r="O94" i="4" s="1"/>
  <c r="L89" i="3"/>
  <c r="N94" i="4" s="1"/>
  <c r="J89" i="3"/>
  <c r="L94" i="4" s="1"/>
  <c r="I89" i="3"/>
  <c r="K94" i="4" s="1"/>
  <c r="M89" i="3"/>
  <c r="H94" i="4" s="1"/>
  <c r="B88" i="3"/>
  <c r="C88" i="3" s="1"/>
  <c r="S87" i="3"/>
  <c r="T87" i="3" s="1"/>
  <c r="U87" i="3"/>
  <c r="V87" i="3" s="1"/>
  <c r="A89" i="3"/>
  <c r="N90" i="3" s="1"/>
  <c r="W87" i="3" l="1"/>
  <c r="A94" i="4"/>
  <c r="J95" i="4"/>
  <c r="D88" i="3"/>
  <c r="C93" i="4" s="1"/>
  <c r="B93" i="4"/>
  <c r="Q90" i="3"/>
  <c r="P95" i="4" s="1"/>
  <c r="P90" i="3"/>
  <c r="O95" i="4" s="1"/>
  <c r="L90" i="3"/>
  <c r="N95" i="4" s="1"/>
  <c r="J90" i="3"/>
  <c r="L95" i="4" s="1"/>
  <c r="I90" i="3"/>
  <c r="K95" i="4" s="1"/>
  <c r="M90" i="3"/>
  <c r="H95" i="4" s="1"/>
  <c r="B89" i="3"/>
  <c r="C89" i="3" s="1"/>
  <c r="B94" i="4" s="1"/>
  <c r="U88" i="3"/>
  <c r="V88" i="3" s="1"/>
  <c r="S88" i="3"/>
  <c r="T88" i="3" s="1"/>
  <c r="A90" i="3"/>
  <c r="N91" i="3" s="1"/>
  <c r="A95" i="4" l="1"/>
  <c r="J96" i="4"/>
  <c r="W88" i="3"/>
  <c r="D89" i="3"/>
  <c r="C94" i="4" s="1"/>
  <c r="Q91" i="3"/>
  <c r="P96" i="4" s="1"/>
  <c r="P91" i="3"/>
  <c r="O96" i="4" s="1"/>
  <c r="L91" i="3"/>
  <c r="N96" i="4" s="1"/>
  <c r="J91" i="3"/>
  <c r="L96" i="4" s="1"/>
  <c r="I91" i="3"/>
  <c r="K96" i="4" s="1"/>
  <c r="M91" i="3"/>
  <c r="H96" i="4" s="1"/>
  <c r="B90" i="3"/>
  <c r="C90" i="3" s="1"/>
  <c r="S89" i="3"/>
  <c r="T89" i="3" s="1"/>
  <c r="U89" i="3"/>
  <c r="V89" i="3" s="1"/>
  <c r="A91" i="3"/>
  <c r="N92" i="3" s="1"/>
  <c r="W89" i="3" l="1"/>
  <c r="A96" i="4"/>
  <c r="J97" i="4"/>
  <c r="D90" i="3"/>
  <c r="C95" i="4" s="1"/>
  <c r="B95" i="4"/>
  <c r="Q92" i="3"/>
  <c r="P97" i="4" s="1"/>
  <c r="P92" i="3"/>
  <c r="O97" i="4" s="1"/>
  <c r="L92" i="3"/>
  <c r="N97" i="4" s="1"/>
  <c r="J92" i="3"/>
  <c r="L97" i="4" s="1"/>
  <c r="I92" i="3"/>
  <c r="K97" i="4" s="1"/>
  <c r="M92" i="3"/>
  <c r="H97" i="4" s="1"/>
  <c r="B91" i="3"/>
  <c r="C91" i="3" s="1"/>
  <c r="S90" i="3"/>
  <c r="T90" i="3" s="1"/>
  <c r="U90" i="3"/>
  <c r="V90" i="3" s="1"/>
  <c r="A92" i="3"/>
  <c r="N93" i="3" s="1"/>
  <c r="A97" i="4" l="1"/>
  <c r="J98" i="4"/>
  <c r="W90" i="3"/>
  <c r="D91" i="3"/>
  <c r="C96" i="4" s="1"/>
  <c r="B96" i="4"/>
  <c r="Q93" i="3"/>
  <c r="P98" i="4" s="1"/>
  <c r="P93" i="3"/>
  <c r="O98" i="4" s="1"/>
  <c r="L93" i="3"/>
  <c r="N98" i="4" s="1"/>
  <c r="J93" i="3"/>
  <c r="L98" i="4" s="1"/>
  <c r="I93" i="3"/>
  <c r="K98" i="4" s="1"/>
  <c r="M93" i="3"/>
  <c r="H98" i="4" s="1"/>
  <c r="B92" i="3"/>
  <c r="C92" i="3" s="1"/>
  <c r="A93" i="3"/>
  <c r="N94" i="3" s="1"/>
  <c r="U91" i="3"/>
  <c r="V91" i="3" s="1"/>
  <c r="S91" i="3"/>
  <c r="A98" i="4" l="1"/>
  <c r="J99" i="4"/>
  <c r="W91" i="3"/>
  <c r="D92" i="3"/>
  <c r="C97" i="4" s="1"/>
  <c r="B97" i="4"/>
  <c r="Q94" i="3"/>
  <c r="P99" i="4" s="1"/>
  <c r="P94" i="3"/>
  <c r="O99" i="4" s="1"/>
  <c r="L94" i="3"/>
  <c r="N99" i="4" s="1"/>
  <c r="J94" i="3"/>
  <c r="L99" i="4" s="1"/>
  <c r="I94" i="3"/>
  <c r="K99" i="4" s="1"/>
  <c r="M94" i="3"/>
  <c r="H99" i="4" s="1"/>
  <c r="B93" i="3"/>
  <c r="C93" i="3" s="1"/>
  <c r="T91" i="3"/>
  <c r="A94" i="3"/>
  <c r="N95" i="3" s="1"/>
  <c r="U92" i="3"/>
  <c r="V92" i="3" s="1"/>
  <c r="S92" i="3"/>
  <c r="T92" i="3" s="1"/>
  <c r="A99" i="4" l="1"/>
  <c r="J100" i="4"/>
  <c r="W92" i="3"/>
  <c r="D93" i="3"/>
  <c r="C98" i="4" s="1"/>
  <c r="B98" i="4"/>
  <c r="Q95" i="3"/>
  <c r="P100" i="4" s="1"/>
  <c r="P95" i="3"/>
  <c r="O100" i="4" s="1"/>
  <c r="L95" i="3"/>
  <c r="N100" i="4" s="1"/>
  <c r="J95" i="3"/>
  <c r="L100" i="4" s="1"/>
  <c r="I95" i="3"/>
  <c r="K100" i="4" s="1"/>
  <c r="M95" i="3"/>
  <c r="H100" i="4" s="1"/>
  <c r="B94" i="3"/>
  <c r="C94" i="3" s="1"/>
  <c r="S93" i="3"/>
  <c r="T93" i="3" s="1"/>
  <c r="U93" i="3"/>
  <c r="V93" i="3" s="1"/>
  <c r="A95" i="3"/>
  <c r="N96" i="3" s="1"/>
  <c r="A100" i="4" l="1"/>
  <c r="J101" i="4"/>
  <c r="W93" i="3"/>
  <c r="D94" i="3"/>
  <c r="C99" i="4" s="1"/>
  <c r="B99" i="4"/>
  <c r="Q96" i="3"/>
  <c r="P101" i="4" s="1"/>
  <c r="P96" i="3"/>
  <c r="O101" i="4" s="1"/>
  <c r="L96" i="3"/>
  <c r="N101" i="4" s="1"/>
  <c r="J96" i="3"/>
  <c r="L101" i="4" s="1"/>
  <c r="I96" i="3"/>
  <c r="K101" i="4" s="1"/>
  <c r="M96" i="3"/>
  <c r="H101" i="4" s="1"/>
  <c r="B95" i="3"/>
  <c r="C95" i="3" s="1"/>
  <c r="S94" i="3"/>
  <c r="T94" i="3" s="1"/>
  <c r="U94" i="3"/>
  <c r="V94" i="3" s="1"/>
  <c r="A96" i="3"/>
  <c r="N97" i="3" s="1"/>
  <c r="AE8" i="3" s="1"/>
  <c r="A101" i="4" l="1"/>
  <c r="J102" i="4"/>
  <c r="W94" i="3"/>
  <c r="D95" i="3"/>
  <c r="C100" i="4" s="1"/>
  <c r="B100" i="4"/>
  <c r="Q97" i="3"/>
  <c r="P102" i="4" s="1"/>
  <c r="P97" i="3"/>
  <c r="O102" i="4" s="1"/>
  <c r="L97" i="3"/>
  <c r="N102" i="4" s="1"/>
  <c r="J97" i="3"/>
  <c r="L102" i="4" s="1"/>
  <c r="I97" i="3"/>
  <c r="K102" i="4" s="1"/>
  <c r="M97" i="3"/>
  <c r="H102" i="4" s="1"/>
  <c r="B96" i="3"/>
  <c r="C96" i="3" s="1"/>
  <c r="A97" i="3"/>
  <c r="N98" i="3" s="1"/>
  <c r="S95" i="3"/>
  <c r="T95" i="3" s="1"/>
  <c r="U95" i="3"/>
  <c r="V95" i="3" s="1"/>
  <c r="W95" i="3" l="1"/>
  <c r="A102" i="4"/>
  <c r="J103" i="4"/>
  <c r="D96" i="3"/>
  <c r="C101" i="4" s="1"/>
  <c r="B101" i="4"/>
  <c r="Q98" i="3"/>
  <c r="P103" i="4" s="1"/>
  <c r="P98" i="3"/>
  <c r="O103" i="4" s="1"/>
  <c r="L98" i="3"/>
  <c r="N103" i="4" s="1"/>
  <c r="J98" i="3"/>
  <c r="L103" i="4" s="1"/>
  <c r="I98" i="3"/>
  <c r="K103" i="4" s="1"/>
  <c r="M98" i="3"/>
  <c r="H103" i="4" s="1"/>
  <c r="B97" i="3"/>
  <c r="C97" i="3" s="1"/>
  <c r="U96" i="3"/>
  <c r="V96" i="3" s="1"/>
  <c r="S96" i="3"/>
  <c r="A98" i="3"/>
  <c r="N99" i="3" s="1"/>
  <c r="W96" i="3" l="1"/>
  <c r="A103" i="4"/>
  <c r="J104" i="4"/>
  <c r="D97" i="3"/>
  <c r="C102" i="4" s="1"/>
  <c r="B102" i="4"/>
  <c r="Q99" i="3"/>
  <c r="P104" i="4" s="1"/>
  <c r="P99" i="3"/>
  <c r="O104" i="4" s="1"/>
  <c r="L99" i="3"/>
  <c r="N104" i="4" s="1"/>
  <c r="J99" i="3"/>
  <c r="L104" i="4" s="1"/>
  <c r="I99" i="3"/>
  <c r="K104" i="4" s="1"/>
  <c r="M99" i="3"/>
  <c r="H104" i="4" s="1"/>
  <c r="B98" i="3"/>
  <c r="C98" i="3" s="1"/>
  <c r="T96" i="3"/>
  <c r="S97" i="3"/>
  <c r="T97" i="3" s="1"/>
  <c r="U97" i="3"/>
  <c r="V97" i="3" s="1"/>
  <c r="A99" i="3"/>
  <c r="N100" i="3" s="1"/>
  <c r="A104" i="4" l="1"/>
  <c r="J105" i="4"/>
  <c r="W97" i="3"/>
  <c r="D98" i="3"/>
  <c r="C103" i="4" s="1"/>
  <c r="B103" i="4"/>
  <c r="Q100" i="3"/>
  <c r="P105" i="4" s="1"/>
  <c r="P100" i="3"/>
  <c r="O105" i="4" s="1"/>
  <c r="L100" i="3"/>
  <c r="N105" i="4" s="1"/>
  <c r="J100" i="3"/>
  <c r="L105" i="4" s="1"/>
  <c r="I100" i="3"/>
  <c r="K105" i="4" s="1"/>
  <c r="M100" i="3"/>
  <c r="H105" i="4" s="1"/>
  <c r="B99" i="3"/>
  <c r="C99" i="3" s="1"/>
  <c r="S98" i="3"/>
  <c r="T98" i="3" s="1"/>
  <c r="U98" i="3"/>
  <c r="V98" i="3" s="1"/>
  <c r="A100" i="3"/>
  <c r="N101" i="3" s="1"/>
  <c r="A105" i="4" l="1"/>
  <c r="J106" i="4"/>
  <c r="W98" i="3"/>
  <c r="D99" i="3"/>
  <c r="C104" i="4" s="1"/>
  <c r="B104" i="4"/>
  <c r="Q101" i="3"/>
  <c r="P106" i="4" s="1"/>
  <c r="P101" i="3"/>
  <c r="O106" i="4" s="1"/>
  <c r="L101" i="3"/>
  <c r="N106" i="4" s="1"/>
  <c r="J101" i="3"/>
  <c r="L106" i="4" s="1"/>
  <c r="I101" i="3"/>
  <c r="K106" i="4" s="1"/>
  <c r="M101" i="3"/>
  <c r="H106" i="4" s="1"/>
  <c r="B100" i="3"/>
  <c r="C100" i="3" s="1"/>
  <c r="S99" i="3"/>
  <c r="T99" i="3" s="1"/>
  <c r="U99" i="3"/>
  <c r="V99" i="3" s="1"/>
  <c r="A101" i="3"/>
  <c r="N102" i="3" s="1"/>
  <c r="A106" i="4" l="1"/>
  <c r="J107" i="4"/>
  <c r="W99" i="3"/>
  <c r="D100" i="3"/>
  <c r="C105" i="4" s="1"/>
  <c r="B105" i="4"/>
  <c r="Q102" i="3"/>
  <c r="P107" i="4" s="1"/>
  <c r="P102" i="3"/>
  <c r="O107" i="4" s="1"/>
  <c r="L102" i="3"/>
  <c r="N107" i="4" s="1"/>
  <c r="J102" i="3"/>
  <c r="L107" i="4" s="1"/>
  <c r="I102" i="3"/>
  <c r="K107" i="4" s="1"/>
  <c r="M102" i="3"/>
  <c r="H107" i="4" s="1"/>
  <c r="B101" i="3"/>
  <c r="C101" i="3" s="1"/>
  <c r="U100" i="3"/>
  <c r="V100" i="3" s="1"/>
  <c r="S100" i="3"/>
  <c r="T100" i="3" s="1"/>
  <c r="A102" i="3"/>
  <c r="N103" i="3" s="1"/>
  <c r="W100" i="3" l="1"/>
  <c r="A107" i="4"/>
  <c r="J108" i="4"/>
  <c r="D101" i="3"/>
  <c r="C106" i="4" s="1"/>
  <c r="B106" i="4"/>
  <c r="Q103" i="3"/>
  <c r="P108" i="4" s="1"/>
  <c r="P103" i="3"/>
  <c r="O108" i="4" s="1"/>
  <c r="L103" i="3"/>
  <c r="N108" i="4" s="1"/>
  <c r="J103" i="3"/>
  <c r="L108" i="4" s="1"/>
  <c r="I103" i="3"/>
  <c r="K108" i="4" s="1"/>
  <c r="M103" i="3"/>
  <c r="H108" i="4" s="1"/>
  <c r="B102" i="3"/>
  <c r="C102" i="3" s="1"/>
  <c r="A103" i="3"/>
  <c r="N104" i="3" s="1"/>
  <c r="S101" i="3"/>
  <c r="T101" i="3" s="1"/>
  <c r="U101" i="3"/>
  <c r="V101" i="3" s="1"/>
  <c r="A108" i="4" l="1"/>
  <c r="J109" i="4"/>
  <c r="W101" i="3"/>
  <c r="D102" i="3"/>
  <c r="C107" i="4" s="1"/>
  <c r="B107" i="4"/>
  <c r="Q104" i="3"/>
  <c r="P109" i="4" s="1"/>
  <c r="P104" i="3"/>
  <c r="O109" i="4" s="1"/>
  <c r="L104" i="3"/>
  <c r="N109" i="4" s="1"/>
  <c r="J104" i="3"/>
  <c r="L109" i="4" s="1"/>
  <c r="I104" i="3"/>
  <c r="K109" i="4" s="1"/>
  <c r="M104" i="3"/>
  <c r="H109" i="4" s="1"/>
  <c r="B103" i="3"/>
  <c r="C103" i="3" s="1"/>
  <c r="U102" i="3"/>
  <c r="V102" i="3" s="1"/>
  <c r="S102" i="3"/>
  <c r="T102" i="3" s="1"/>
  <c r="A104" i="3"/>
  <c r="N105" i="3" s="1"/>
  <c r="A109" i="4" l="1"/>
  <c r="J110" i="4"/>
  <c r="W102" i="3"/>
  <c r="D103" i="3"/>
  <c r="C108" i="4" s="1"/>
  <c r="B108" i="4"/>
  <c r="Q105" i="3"/>
  <c r="P110" i="4" s="1"/>
  <c r="P105" i="3"/>
  <c r="O110" i="4" s="1"/>
  <c r="L105" i="3"/>
  <c r="N110" i="4" s="1"/>
  <c r="J105" i="3"/>
  <c r="L110" i="4" s="1"/>
  <c r="I105" i="3"/>
  <c r="K110" i="4" s="1"/>
  <c r="M105" i="3"/>
  <c r="H110" i="4" s="1"/>
  <c r="B104" i="3"/>
  <c r="C104" i="3" s="1"/>
  <c r="A105" i="3"/>
  <c r="N106" i="3" s="1"/>
  <c r="S103" i="3"/>
  <c r="T103" i="3" s="1"/>
  <c r="U103" i="3"/>
  <c r="V103" i="3" s="1"/>
  <c r="A110" i="4" l="1"/>
  <c r="J111" i="4"/>
  <c r="W103" i="3"/>
  <c r="D104" i="3"/>
  <c r="C109" i="4" s="1"/>
  <c r="B109" i="4"/>
  <c r="Q106" i="3"/>
  <c r="P111" i="4" s="1"/>
  <c r="P106" i="3"/>
  <c r="O111" i="4" s="1"/>
  <c r="L106" i="3"/>
  <c r="N111" i="4" s="1"/>
  <c r="J106" i="3"/>
  <c r="L111" i="4" s="1"/>
  <c r="I106" i="3"/>
  <c r="K111" i="4" s="1"/>
  <c r="M106" i="3"/>
  <c r="H111" i="4" s="1"/>
  <c r="B105" i="3"/>
  <c r="C105" i="3" s="1"/>
  <c r="A106" i="3"/>
  <c r="N107" i="3" s="1"/>
  <c r="S104" i="3"/>
  <c r="T104" i="3" s="1"/>
  <c r="U104" i="3"/>
  <c r="V104" i="3" s="1"/>
  <c r="A111" i="4" l="1"/>
  <c r="J112" i="4"/>
  <c r="W104" i="3"/>
  <c r="D105" i="3"/>
  <c r="C110" i="4" s="1"/>
  <c r="B110" i="4"/>
  <c r="Q107" i="3"/>
  <c r="P112" i="4" s="1"/>
  <c r="P107" i="3"/>
  <c r="O112" i="4" s="1"/>
  <c r="L107" i="3"/>
  <c r="N112" i="4" s="1"/>
  <c r="J107" i="3"/>
  <c r="L112" i="4" s="1"/>
  <c r="I107" i="3"/>
  <c r="K112" i="4" s="1"/>
  <c r="M107" i="3"/>
  <c r="H112" i="4" s="1"/>
  <c r="B106" i="3"/>
  <c r="C106" i="3" s="1"/>
  <c r="S105" i="3"/>
  <c r="T105" i="3" s="1"/>
  <c r="U105" i="3"/>
  <c r="V105" i="3" s="1"/>
  <c r="A107" i="3"/>
  <c r="N108" i="3" s="1"/>
  <c r="A112" i="4" l="1"/>
  <c r="J113" i="4"/>
  <c r="W105" i="3"/>
  <c r="D106" i="3"/>
  <c r="C111" i="4" s="1"/>
  <c r="B111" i="4"/>
  <c r="Q108" i="3"/>
  <c r="P113" i="4" s="1"/>
  <c r="P108" i="3"/>
  <c r="O113" i="4" s="1"/>
  <c r="L108" i="3"/>
  <c r="N113" i="4" s="1"/>
  <c r="J108" i="3"/>
  <c r="L113" i="4" s="1"/>
  <c r="I108" i="3"/>
  <c r="K113" i="4" s="1"/>
  <c r="M108" i="3"/>
  <c r="H113" i="4" s="1"/>
  <c r="B107" i="3"/>
  <c r="C107" i="3" s="1"/>
  <c r="A108" i="3"/>
  <c r="N109" i="3" s="1"/>
  <c r="AE9" i="3" s="1"/>
  <c r="S106" i="3"/>
  <c r="T106" i="3" s="1"/>
  <c r="U106" i="3"/>
  <c r="V106" i="3" s="1"/>
  <c r="A113" i="4" l="1"/>
  <c r="J114" i="4"/>
  <c r="W106" i="3"/>
  <c r="D107" i="3"/>
  <c r="C112" i="4" s="1"/>
  <c r="B112" i="4"/>
  <c r="L109" i="3"/>
  <c r="N114" i="4" s="1"/>
  <c r="J109" i="3"/>
  <c r="L114" i="4" s="1"/>
  <c r="I109" i="3"/>
  <c r="K114" i="4" s="1"/>
  <c r="M109" i="3"/>
  <c r="H114" i="4" s="1"/>
  <c r="B108" i="3"/>
  <c r="C108" i="3" s="1"/>
  <c r="B113" i="4" s="1"/>
  <c r="S107" i="3"/>
  <c r="T107" i="3" s="1"/>
  <c r="U107" i="3"/>
  <c r="V107" i="3" s="1"/>
  <c r="A109" i="3"/>
  <c r="N110" i="3" s="1"/>
  <c r="A114" i="4" l="1"/>
  <c r="J115" i="4"/>
  <c r="W107" i="3"/>
  <c r="Q110" i="3"/>
  <c r="P115" i="4" s="1"/>
  <c r="P110" i="3"/>
  <c r="O115" i="4" s="1"/>
  <c r="L110" i="3"/>
  <c r="N115" i="4" s="1"/>
  <c r="J110" i="3"/>
  <c r="L115" i="4" s="1"/>
  <c r="I110" i="3"/>
  <c r="K115" i="4" s="1"/>
  <c r="A110" i="3"/>
  <c r="N111" i="3" s="1"/>
  <c r="M110" i="3"/>
  <c r="H115" i="4" s="1"/>
  <c r="B109" i="3"/>
  <c r="C109" i="3" s="1"/>
  <c r="D108" i="3"/>
  <c r="C113" i="4" s="1"/>
  <c r="U108" i="3"/>
  <c r="V108" i="3" s="1"/>
  <c r="S108" i="3"/>
  <c r="A115" i="4" l="1"/>
  <c r="J116" i="4"/>
  <c r="D109" i="3"/>
  <c r="B114" i="4"/>
  <c r="W108" i="3"/>
  <c r="Q111" i="3"/>
  <c r="P116" i="4" s="1"/>
  <c r="P111" i="3"/>
  <c r="O116" i="4" s="1"/>
  <c r="L111" i="3"/>
  <c r="N116" i="4" s="1"/>
  <c r="J111" i="3"/>
  <c r="L116" i="4" s="1"/>
  <c r="I111" i="3"/>
  <c r="K116" i="4" s="1"/>
  <c r="U109" i="3"/>
  <c r="V109" i="3" s="1"/>
  <c r="S109" i="3"/>
  <c r="T109" i="3" s="1"/>
  <c r="A111" i="3"/>
  <c r="N112" i="3" s="1"/>
  <c r="M111" i="3"/>
  <c r="H116" i="4" s="1"/>
  <c r="B110" i="3"/>
  <c r="C110" i="3" s="1"/>
  <c r="B115" i="4" s="1"/>
  <c r="T108" i="3"/>
  <c r="A116" i="4" l="1"/>
  <c r="J117" i="4"/>
  <c r="C114" i="4"/>
  <c r="W109" i="3"/>
  <c r="Q112" i="3"/>
  <c r="P117" i="4" s="1"/>
  <c r="P112" i="3"/>
  <c r="O117" i="4" s="1"/>
  <c r="L112" i="3"/>
  <c r="N117" i="4" s="1"/>
  <c r="J112" i="3"/>
  <c r="L117" i="4" s="1"/>
  <c r="I112" i="3"/>
  <c r="K117" i="4" s="1"/>
  <c r="S110" i="3"/>
  <c r="T110" i="3" s="1"/>
  <c r="U110" i="3"/>
  <c r="V110" i="3" s="1"/>
  <c r="A112" i="3"/>
  <c r="N113" i="3" s="1"/>
  <c r="M112" i="3"/>
  <c r="H117" i="4" s="1"/>
  <c r="B111" i="3"/>
  <c r="C111" i="3" s="1"/>
  <c r="D110" i="3"/>
  <c r="A117" i="4" l="1"/>
  <c r="J118" i="4"/>
  <c r="C115" i="4"/>
  <c r="W110" i="3"/>
  <c r="D111" i="3"/>
  <c r="B116" i="4"/>
  <c r="Q113" i="3"/>
  <c r="P118" i="4" s="1"/>
  <c r="P113" i="3"/>
  <c r="O118" i="4" s="1"/>
  <c r="L113" i="3"/>
  <c r="N118" i="4" s="1"/>
  <c r="J113" i="3"/>
  <c r="L118" i="4" s="1"/>
  <c r="I113" i="3"/>
  <c r="K118" i="4" s="1"/>
  <c r="A113" i="3"/>
  <c r="N114" i="3" s="1"/>
  <c r="M113" i="3"/>
  <c r="H118" i="4" s="1"/>
  <c r="B112" i="3"/>
  <c r="C112" i="3" s="1"/>
  <c r="S111" i="3"/>
  <c r="T111" i="3" s="1"/>
  <c r="U111" i="3"/>
  <c r="V111" i="3" s="1"/>
  <c r="A118" i="4" l="1"/>
  <c r="J119" i="4"/>
  <c r="C116" i="4"/>
  <c r="W111" i="3"/>
  <c r="D112" i="3"/>
  <c r="B117" i="4"/>
  <c r="Q109" i="3"/>
  <c r="P114" i="4" s="1"/>
  <c r="Q114" i="3"/>
  <c r="P119" i="4" s="1"/>
  <c r="P114" i="3"/>
  <c r="O119" i="4" s="1"/>
  <c r="L114" i="3"/>
  <c r="N119" i="4" s="1"/>
  <c r="J114" i="3"/>
  <c r="L119" i="4" s="1"/>
  <c r="I114" i="3"/>
  <c r="K119" i="4" s="1"/>
  <c r="U112" i="3"/>
  <c r="V112" i="3" s="1"/>
  <c r="S112" i="3"/>
  <c r="T112" i="3" s="1"/>
  <c r="A114" i="3"/>
  <c r="N115" i="3" s="1"/>
  <c r="M114" i="3"/>
  <c r="H119" i="4" s="1"/>
  <c r="B113" i="3"/>
  <c r="C113" i="3" s="1"/>
  <c r="A119" i="4" l="1"/>
  <c r="J120" i="4"/>
  <c r="C117" i="4"/>
  <c r="W112" i="3"/>
  <c r="D113" i="3"/>
  <c r="B118" i="4"/>
  <c r="Q115" i="3"/>
  <c r="P120" i="4" s="1"/>
  <c r="P115" i="3"/>
  <c r="O120" i="4" s="1"/>
  <c r="L115" i="3"/>
  <c r="N120" i="4" s="1"/>
  <c r="J115" i="3"/>
  <c r="L120" i="4" s="1"/>
  <c r="I115" i="3"/>
  <c r="K120" i="4" s="1"/>
  <c r="A115" i="3"/>
  <c r="N116" i="3" s="1"/>
  <c r="M115" i="3"/>
  <c r="H120" i="4" s="1"/>
  <c r="B114" i="3"/>
  <c r="C114" i="3" s="1"/>
  <c r="U113" i="3"/>
  <c r="V113" i="3" s="1"/>
  <c r="S113" i="3"/>
  <c r="T113" i="3" s="1"/>
  <c r="A120" i="4" l="1"/>
  <c r="J121" i="4"/>
  <c r="C118" i="4"/>
  <c r="W113" i="3"/>
  <c r="D114" i="3"/>
  <c r="B119" i="4"/>
  <c r="Q116" i="3"/>
  <c r="P121" i="4" s="1"/>
  <c r="P116" i="3"/>
  <c r="O121" i="4" s="1"/>
  <c r="L116" i="3"/>
  <c r="N121" i="4" s="1"/>
  <c r="J116" i="3"/>
  <c r="L121" i="4" s="1"/>
  <c r="I116" i="3"/>
  <c r="K121" i="4" s="1"/>
  <c r="U114" i="3"/>
  <c r="V114" i="3" s="1"/>
  <c r="S114" i="3"/>
  <c r="T114" i="3" s="1"/>
  <c r="A116" i="3"/>
  <c r="N117" i="3" s="1"/>
  <c r="M116" i="3"/>
  <c r="H121" i="4" s="1"/>
  <c r="B115" i="3"/>
  <c r="C115" i="3" s="1"/>
  <c r="A121" i="4" l="1"/>
  <c r="J122" i="4"/>
  <c r="C119" i="4"/>
  <c r="W114" i="3"/>
  <c r="D115" i="3"/>
  <c r="B120" i="4"/>
  <c r="Q117" i="3"/>
  <c r="P122" i="4" s="1"/>
  <c r="P117" i="3"/>
  <c r="O122" i="4" s="1"/>
  <c r="L117" i="3"/>
  <c r="N122" i="4" s="1"/>
  <c r="J117" i="3"/>
  <c r="L122" i="4" s="1"/>
  <c r="I117" i="3"/>
  <c r="K122" i="4" s="1"/>
  <c r="A117" i="3"/>
  <c r="N118" i="3" s="1"/>
  <c r="M117" i="3"/>
  <c r="H122" i="4" s="1"/>
  <c r="B116" i="3"/>
  <c r="C116" i="3" s="1"/>
  <c r="U115" i="3"/>
  <c r="V115" i="3" s="1"/>
  <c r="S115" i="3"/>
  <c r="T115" i="3" s="1"/>
  <c r="A122" i="4" l="1"/>
  <c r="J123" i="4"/>
  <c r="C120" i="4"/>
  <c r="W115" i="3"/>
  <c r="D116" i="3"/>
  <c r="B121" i="4"/>
  <c r="Q118" i="3"/>
  <c r="P123" i="4" s="1"/>
  <c r="P118" i="3"/>
  <c r="O123" i="4" s="1"/>
  <c r="L118" i="3"/>
  <c r="N123" i="4" s="1"/>
  <c r="J118" i="3"/>
  <c r="L123" i="4" s="1"/>
  <c r="I118" i="3"/>
  <c r="K123" i="4" s="1"/>
  <c r="S116" i="3"/>
  <c r="T116" i="3" s="1"/>
  <c r="U116" i="3"/>
  <c r="V116" i="3" s="1"/>
  <c r="A118" i="3"/>
  <c r="N119" i="3" s="1"/>
  <c r="M118" i="3"/>
  <c r="H123" i="4" s="1"/>
  <c r="B117" i="3"/>
  <c r="C117" i="3" s="1"/>
  <c r="A123" i="4" l="1"/>
  <c r="J124" i="4"/>
  <c r="C121" i="4"/>
  <c r="W116" i="3"/>
  <c r="D117" i="3"/>
  <c r="B122" i="4"/>
  <c r="Q119" i="3"/>
  <c r="P124" i="4" s="1"/>
  <c r="P119" i="3"/>
  <c r="O124" i="4" s="1"/>
  <c r="L119" i="3"/>
  <c r="N124" i="4" s="1"/>
  <c r="J119" i="3"/>
  <c r="L124" i="4" s="1"/>
  <c r="I119" i="3"/>
  <c r="K124" i="4" s="1"/>
  <c r="A119" i="3"/>
  <c r="N120" i="3" s="1"/>
  <c r="M119" i="3"/>
  <c r="H124" i="4" s="1"/>
  <c r="B118" i="3"/>
  <c r="C118" i="3" s="1"/>
  <c r="U117" i="3"/>
  <c r="V117" i="3" s="1"/>
  <c r="S117" i="3"/>
  <c r="T117" i="3" s="1"/>
  <c r="A124" i="4" l="1"/>
  <c r="J125" i="4"/>
  <c r="C122" i="4"/>
  <c r="W117" i="3"/>
  <c r="D118" i="3"/>
  <c r="B123" i="4"/>
  <c r="Q120" i="3"/>
  <c r="P125" i="4" s="1"/>
  <c r="P120" i="3"/>
  <c r="O125" i="4" s="1"/>
  <c r="L120" i="3"/>
  <c r="N125" i="4" s="1"/>
  <c r="J120" i="3"/>
  <c r="L125" i="4" s="1"/>
  <c r="I120" i="3"/>
  <c r="K125" i="4" s="1"/>
  <c r="S118" i="3"/>
  <c r="T118" i="3" s="1"/>
  <c r="U118" i="3"/>
  <c r="V118" i="3" s="1"/>
  <c r="A120" i="3"/>
  <c r="N121" i="3" s="1"/>
  <c r="AE10" i="3" s="1"/>
  <c r="M120" i="3"/>
  <c r="H125" i="4" s="1"/>
  <c r="B119" i="3"/>
  <c r="C119" i="3" s="1"/>
  <c r="A125" i="4" l="1"/>
  <c r="J126" i="4"/>
  <c r="C123" i="4"/>
  <c r="W118" i="3"/>
  <c r="D119" i="3"/>
  <c r="B124" i="4"/>
  <c r="Q121" i="3"/>
  <c r="P126" i="4" s="1"/>
  <c r="P121" i="3"/>
  <c r="O126" i="4" s="1"/>
  <c r="L121" i="3"/>
  <c r="N126" i="4" s="1"/>
  <c r="J121" i="3"/>
  <c r="L126" i="4" s="1"/>
  <c r="I121" i="3"/>
  <c r="K126" i="4" s="1"/>
  <c r="A121" i="3"/>
  <c r="N122" i="3" s="1"/>
  <c r="M121" i="3"/>
  <c r="H126" i="4" s="1"/>
  <c r="B120" i="3"/>
  <c r="C120" i="3" s="1"/>
  <c r="S119" i="3"/>
  <c r="T119" i="3" s="1"/>
  <c r="U119" i="3"/>
  <c r="V119" i="3" s="1"/>
  <c r="A126" i="4" l="1"/>
  <c r="J127" i="4"/>
  <c r="C124" i="4"/>
  <c r="W119" i="3"/>
  <c r="D120" i="3"/>
  <c r="B125" i="4"/>
  <c r="Q122" i="3"/>
  <c r="P127" i="4" s="1"/>
  <c r="P122" i="3"/>
  <c r="O127" i="4" s="1"/>
  <c r="L122" i="3"/>
  <c r="N127" i="4" s="1"/>
  <c r="J122" i="3"/>
  <c r="L127" i="4" s="1"/>
  <c r="I122" i="3"/>
  <c r="K127" i="4" s="1"/>
  <c r="U120" i="3"/>
  <c r="V120" i="3" s="1"/>
  <c r="S120" i="3"/>
  <c r="T120" i="3" s="1"/>
  <c r="A122" i="3"/>
  <c r="N123" i="3" s="1"/>
  <c r="M122" i="3"/>
  <c r="H127" i="4" s="1"/>
  <c r="B121" i="3"/>
  <c r="C121" i="3" s="1"/>
  <c r="A127" i="4" l="1"/>
  <c r="J128" i="4"/>
  <c r="C125" i="4"/>
  <c r="W120" i="3"/>
  <c r="D121" i="3"/>
  <c r="B126" i="4"/>
  <c r="Q123" i="3"/>
  <c r="P128" i="4" s="1"/>
  <c r="P123" i="3"/>
  <c r="O128" i="4" s="1"/>
  <c r="L123" i="3"/>
  <c r="N128" i="4" s="1"/>
  <c r="J123" i="3"/>
  <c r="L128" i="4" s="1"/>
  <c r="I123" i="3"/>
  <c r="K128" i="4" s="1"/>
  <c r="A123" i="3"/>
  <c r="N124" i="3" s="1"/>
  <c r="M123" i="3"/>
  <c r="H128" i="4" s="1"/>
  <c r="B122" i="3"/>
  <c r="C122" i="3" s="1"/>
  <c r="U121" i="3"/>
  <c r="V121" i="3" s="1"/>
  <c r="S121" i="3"/>
  <c r="T121" i="3" s="1"/>
  <c r="A128" i="4" l="1"/>
  <c r="J129" i="4"/>
  <c r="C126" i="4"/>
  <c r="W121" i="3"/>
  <c r="D122" i="3"/>
  <c r="B127" i="4"/>
  <c r="Q124" i="3"/>
  <c r="P129" i="4" s="1"/>
  <c r="P124" i="3"/>
  <c r="O129" i="4" s="1"/>
  <c r="L124" i="3"/>
  <c r="N129" i="4" s="1"/>
  <c r="J124" i="3"/>
  <c r="L129" i="4" s="1"/>
  <c r="I124" i="3"/>
  <c r="K129" i="4" s="1"/>
  <c r="S122" i="3"/>
  <c r="T122" i="3" s="1"/>
  <c r="U122" i="3"/>
  <c r="V122" i="3" s="1"/>
  <c r="A124" i="3"/>
  <c r="N125" i="3" s="1"/>
  <c r="M124" i="3"/>
  <c r="H129" i="4" s="1"/>
  <c r="B123" i="3"/>
  <c r="C123" i="3" s="1"/>
  <c r="A129" i="4" l="1"/>
  <c r="J130" i="4"/>
  <c r="C127" i="4"/>
  <c r="W122" i="3"/>
  <c r="D123" i="3"/>
  <c r="B128" i="4"/>
  <c r="Q125" i="3"/>
  <c r="P130" i="4" s="1"/>
  <c r="P125" i="3"/>
  <c r="O130" i="4" s="1"/>
  <c r="L125" i="3"/>
  <c r="N130" i="4" s="1"/>
  <c r="J125" i="3"/>
  <c r="L130" i="4" s="1"/>
  <c r="I125" i="3"/>
  <c r="K130" i="4" s="1"/>
  <c r="A125" i="3"/>
  <c r="N126" i="3" s="1"/>
  <c r="M125" i="3"/>
  <c r="H130" i="4" s="1"/>
  <c r="B124" i="3"/>
  <c r="C124" i="3" s="1"/>
  <c r="U123" i="3"/>
  <c r="V123" i="3" s="1"/>
  <c r="S123" i="3"/>
  <c r="T123" i="3" s="1"/>
  <c r="A130" i="4" l="1"/>
  <c r="J131" i="4"/>
  <c r="C128" i="4"/>
  <c r="W123" i="3"/>
  <c r="D124" i="3"/>
  <c r="B129" i="4"/>
  <c r="Q126" i="3"/>
  <c r="P131" i="4" s="1"/>
  <c r="P126" i="3"/>
  <c r="O131" i="4" s="1"/>
  <c r="L126" i="3"/>
  <c r="N131" i="4" s="1"/>
  <c r="J126" i="3"/>
  <c r="L131" i="4" s="1"/>
  <c r="I126" i="3"/>
  <c r="K131" i="4" s="1"/>
  <c r="S124" i="3"/>
  <c r="T124" i="3" s="1"/>
  <c r="U124" i="3"/>
  <c r="V124" i="3" s="1"/>
  <c r="A126" i="3"/>
  <c r="N127" i="3" s="1"/>
  <c r="M126" i="3"/>
  <c r="H131" i="4" s="1"/>
  <c r="B125" i="3"/>
  <c r="C125" i="3" s="1"/>
  <c r="A131" i="4" l="1"/>
  <c r="J132" i="4"/>
  <c r="C129" i="4"/>
  <c r="W124" i="3"/>
  <c r="D125" i="3"/>
  <c r="B130" i="4"/>
  <c r="Q127" i="3"/>
  <c r="P132" i="4" s="1"/>
  <c r="P127" i="3"/>
  <c r="O132" i="4" s="1"/>
  <c r="L127" i="3"/>
  <c r="N132" i="4" s="1"/>
  <c r="J127" i="3"/>
  <c r="L132" i="4" s="1"/>
  <c r="I127" i="3"/>
  <c r="K132" i="4" s="1"/>
  <c r="A127" i="3"/>
  <c r="N128" i="3" s="1"/>
  <c r="M127" i="3"/>
  <c r="H132" i="4" s="1"/>
  <c r="B126" i="3"/>
  <c r="C126" i="3" s="1"/>
  <c r="S125" i="3"/>
  <c r="T125" i="3" s="1"/>
  <c r="U125" i="3"/>
  <c r="V125" i="3" s="1"/>
  <c r="A132" i="4" l="1"/>
  <c r="J133" i="4"/>
  <c r="C130" i="4"/>
  <c r="W125" i="3"/>
  <c r="D126" i="3"/>
  <c r="B131" i="4"/>
  <c r="Q128" i="3"/>
  <c r="P133" i="4" s="1"/>
  <c r="P128" i="3"/>
  <c r="O133" i="4" s="1"/>
  <c r="L128" i="3"/>
  <c r="N133" i="4" s="1"/>
  <c r="J128" i="3"/>
  <c r="L133" i="4" s="1"/>
  <c r="I128" i="3"/>
  <c r="K133" i="4" s="1"/>
  <c r="U126" i="3"/>
  <c r="V126" i="3" s="1"/>
  <c r="S126" i="3"/>
  <c r="T126" i="3" s="1"/>
  <c r="A128" i="3"/>
  <c r="N129" i="3" s="1"/>
  <c r="M128" i="3"/>
  <c r="H133" i="4" s="1"/>
  <c r="B127" i="3"/>
  <c r="C127" i="3" s="1"/>
  <c r="A133" i="4" l="1"/>
  <c r="J134" i="4"/>
  <c r="C131" i="4"/>
  <c r="W126" i="3"/>
  <c r="D127" i="3"/>
  <c r="B132" i="4"/>
  <c r="Q129" i="3"/>
  <c r="P134" i="4" s="1"/>
  <c r="P129" i="3"/>
  <c r="O134" i="4" s="1"/>
  <c r="L129" i="3"/>
  <c r="N134" i="4" s="1"/>
  <c r="J129" i="3"/>
  <c r="L134" i="4" s="1"/>
  <c r="I129" i="3"/>
  <c r="K134" i="4" s="1"/>
  <c r="A129" i="3"/>
  <c r="N130" i="3" s="1"/>
  <c r="M129" i="3"/>
  <c r="H134" i="4" s="1"/>
  <c r="B128" i="3"/>
  <c r="C128" i="3" s="1"/>
  <c r="U127" i="3"/>
  <c r="V127" i="3" s="1"/>
  <c r="S127" i="3"/>
  <c r="T127" i="3" s="1"/>
  <c r="A134" i="4" l="1"/>
  <c r="J135" i="4"/>
  <c r="C132" i="4"/>
  <c r="W127" i="3"/>
  <c r="D128" i="3"/>
  <c r="B133" i="4"/>
  <c r="Q130" i="3"/>
  <c r="P135" i="4" s="1"/>
  <c r="P130" i="3"/>
  <c r="O135" i="4" s="1"/>
  <c r="L130" i="3"/>
  <c r="N135" i="4" s="1"/>
  <c r="J130" i="3"/>
  <c r="L135" i="4" s="1"/>
  <c r="I130" i="3"/>
  <c r="K135" i="4" s="1"/>
  <c r="U128" i="3"/>
  <c r="V128" i="3" s="1"/>
  <c r="S128" i="3"/>
  <c r="T128" i="3" s="1"/>
  <c r="A130" i="3"/>
  <c r="N131" i="3" s="1"/>
  <c r="M130" i="3"/>
  <c r="H135" i="4" s="1"/>
  <c r="B129" i="3"/>
  <c r="C129" i="3" s="1"/>
  <c r="A135" i="4" l="1"/>
  <c r="J136" i="4"/>
  <c r="C133" i="4"/>
  <c r="W128" i="3"/>
  <c r="D129" i="3"/>
  <c r="B134" i="4"/>
  <c r="Q131" i="3"/>
  <c r="P136" i="4" s="1"/>
  <c r="P131" i="3"/>
  <c r="O136" i="4" s="1"/>
  <c r="L131" i="3"/>
  <c r="N136" i="4" s="1"/>
  <c r="J131" i="3"/>
  <c r="L136" i="4" s="1"/>
  <c r="I131" i="3"/>
  <c r="K136" i="4" s="1"/>
  <c r="A131" i="3"/>
  <c r="N132" i="3" s="1"/>
  <c r="M131" i="3"/>
  <c r="H136" i="4" s="1"/>
  <c r="B130" i="3"/>
  <c r="C130" i="3" s="1"/>
  <c r="U129" i="3"/>
  <c r="V129" i="3" s="1"/>
  <c r="S129" i="3"/>
  <c r="T129" i="3" s="1"/>
  <c r="A136" i="4" l="1"/>
  <c r="J137" i="4"/>
  <c r="C134" i="4"/>
  <c r="W129" i="3"/>
  <c r="D130" i="3"/>
  <c r="B135" i="4"/>
  <c r="Q132" i="3"/>
  <c r="P137" i="4" s="1"/>
  <c r="P132" i="3"/>
  <c r="O137" i="4" s="1"/>
  <c r="L132" i="3"/>
  <c r="N137" i="4" s="1"/>
  <c r="J132" i="3"/>
  <c r="L137" i="4" s="1"/>
  <c r="I132" i="3"/>
  <c r="K137" i="4" s="1"/>
  <c r="S130" i="3"/>
  <c r="T130" i="3" s="1"/>
  <c r="U130" i="3"/>
  <c r="V130" i="3" s="1"/>
  <c r="A132" i="3"/>
  <c r="N133" i="3" s="1"/>
  <c r="AE11" i="3" s="1"/>
  <c r="M132" i="3"/>
  <c r="H137" i="4" s="1"/>
  <c r="B131" i="3"/>
  <c r="C131" i="3" s="1"/>
  <c r="A137" i="4" l="1"/>
  <c r="J138" i="4"/>
  <c r="C135" i="4"/>
  <c r="W130" i="3"/>
  <c r="D131" i="3"/>
  <c r="B136" i="4"/>
  <c r="Q133" i="3"/>
  <c r="P138" i="4" s="1"/>
  <c r="P133" i="3"/>
  <c r="O138" i="4" s="1"/>
  <c r="L133" i="3"/>
  <c r="N138" i="4" s="1"/>
  <c r="J133" i="3"/>
  <c r="L138" i="4" s="1"/>
  <c r="I133" i="3"/>
  <c r="K138" i="4" s="1"/>
  <c r="A133" i="3"/>
  <c r="N134" i="3" s="1"/>
  <c r="M133" i="3"/>
  <c r="H138" i="4" s="1"/>
  <c r="B132" i="3"/>
  <c r="C132" i="3" s="1"/>
  <c r="S131" i="3"/>
  <c r="T131" i="3" s="1"/>
  <c r="U131" i="3"/>
  <c r="V131" i="3" s="1"/>
  <c r="A138" i="4" l="1"/>
  <c r="J139" i="4"/>
  <c r="C136" i="4"/>
  <c r="W131" i="3"/>
  <c r="D132" i="3"/>
  <c r="B137" i="4"/>
  <c r="Q134" i="3"/>
  <c r="P139" i="4" s="1"/>
  <c r="P134" i="3"/>
  <c r="O139" i="4" s="1"/>
  <c r="L134" i="3"/>
  <c r="N139" i="4" s="1"/>
  <c r="J134" i="3"/>
  <c r="L139" i="4" s="1"/>
  <c r="I134" i="3"/>
  <c r="K139" i="4" s="1"/>
  <c r="S132" i="3"/>
  <c r="T132" i="3" s="1"/>
  <c r="U132" i="3"/>
  <c r="V132" i="3" s="1"/>
  <c r="A134" i="3"/>
  <c r="N135" i="3" s="1"/>
  <c r="M134" i="3"/>
  <c r="H139" i="4" s="1"/>
  <c r="B133" i="3"/>
  <c r="C133" i="3" s="1"/>
  <c r="B138" i="4" s="1"/>
  <c r="A139" i="4" l="1"/>
  <c r="J140" i="4"/>
  <c r="C137" i="4"/>
  <c r="W132" i="3"/>
  <c r="Q135" i="3"/>
  <c r="P140" i="4" s="1"/>
  <c r="P135" i="3"/>
  <c r="O140" i="4" s="1"/>
  <c r="L135" i="3"/>
  <c r="N140" i="4" s="1"/>
  <c r="J135" i="3"/>
  <c r="L140" i="4" s="1"/>
  <c r="I135" i="3"/>
  <c r="K140" i="4" s="1"/>
  <c r="U133" i="3"/>
  <c r="V133" i="3" s="1"/>
  <c r="S133" i="3"/>
  <c r="T133" i="3" s="1"/>
  <c r="A135" i="3"/>
  <c r="N136" i="3" s="1"/>
  <c r="M135" i="3"/>
  <c r="H140" i="4" s="1"/>
  <c r="B134" i="3"/>
  <c r="C134" i="3" s="1"/>
  <c r="D133" i="3"/>
  <c r="A140" i="4" l="1"/>
  <c r="J141" i="4"/>
  <c r="C138" i="4"/>
  <c r="W133" i="3"/>
  <c r="D134" i="3"/>
  <c r="B139" i="4"/>
  <c r="Q136" i="3"/>
  <c r="P141" i="4" s="1"/>
  <c r="P136" i="3"/>
  <c r="O141" i="4" s="1"/>
  <c r="L136" i="3"/>
  <c r="N141" i="4" s="1"/>
  <c r="J136" i="3"/>
  <c r="L141" i="4" s="1"/>
  <c r="I136" i="3"/>
  <c r="K141" i="4" s="1"/>
  <c r="A136" i="3"/>
  <c r="N137" i="3" s="1"/>
  <c r="M136" i="3"/>
  <c r="H141" i="4" s="1"/>
  <c r="B135" i="3"/>
  <c r="C135" i="3" s="1"/>
  <c r="U134" i="3"/>
  <c r="V134" i="3" s="1"/>
  <c r="S134" i="3"/>
  <c r="T134" i="3" s="1"/>
  <c r="A141" i="4" l="1"/>
  <c r="J142" i="4"/>
  <c r="C139" i="4"/>
  <c r="W134" i="3"/>
  <c r="D135" i="3"/>
  <c r="B140" i="4"/>
  <c r="Q137" i="3"/>
  <c r="P142" i="4" s="1"/>
  <c r="P137" i="3"/>
  <c r="O142" i="4" s="1"/>
  <c r="L137" i="3"/>
  <c r="N142" i="4" s="1"/>
  <c r="J137" i="3"/>
  <c r="L142" i="4" s="1"/>
  <c r="I137" i="3"/>
  <c r="K142" i="4" s="1"/>
  <c r="U135" i="3"/>
  <c r="V135" i="3" s="1"/>
  <c r="S135" i="3"/>
  <c r="T135" i="3" s="1"/>
  <c r="A137" i="3"/>
  <c r="N138" i="3" s="1"/>
  <c r="M137" i="3"/>
  <c r="H142" i="4" s="1"/>
  <c r="B136" i="3"/>
  <c r="C136" i="3" s="1"/>
  <c r="A142" i="4" l="1"/>
  <c r="J143" i="4"/>
  <c r="C140" i="4"/>
  <c r="W135" i="3"/>
  <c r="D136" i="3"/>
  <c r="B141" i="4"/>
  <c r="Q138" i="3"/>
  <c r="P143" i="4" s="1"/>
  <c r="P138" i="3"/>
  <c r="O143" i="4" s="1"/>
  <c r="L138" i="3"/>
  <c r="N143" i="4" s="1"/>
  <c r="J138" i="3"/>
  <c r="L143" i="4" s="1"/>
  <c r="I138" i="3"/>
  <c r="K143" i="4" s="1"/>
  <c r="A138" i="3"/>
  <c r="N139" i="3" s="1"/>
  <c r="M138" i="3"/>
  <c r="H143" i="4" s="1"/>
  <c r="B137" i="3"/>
  <c r="C137" i="3" s="1"/>
  <c r="U136" i="3"/>
  <c r="V136" i="3" s="1"/>
  <c r="S136" i="3"/>
  <c r="T136" i="3" s="1"/>
  <c r="A143" i="4" l="1"/>
  <c r="J144" i="4"/>
  <c r="C141" i="4"/>
  <c r="W136" i="3"/>
  <c r="D137" i="3"/>
  <c r="B142" i="4"/>
  <c r="Q139" i="3"/>
  <c r="P144" i="4" s="1"/>
  <c r="P139" i="3"/>
  <c r="O144" i="4" s="1"/>
  <c r="L139" i="3"/>
  <c r="N144" i="4" s="1"/>
  <c r="J139" i="3"/>
  <c r="L144" i="4" s="1"/>
  <c r="I139" i="3"/>
  <c r="K144" i="4" s="1"/>
  <c r="U137" i="3"/>
  <c r="V137" i="3" s="1"/>
  <c r="S137" i="3"/>
  <c r="T137" i="3" s="1"/>
  <c r="A139" i="3"/>
  <c r="N140" i="3" s="1"/>
  <c r="M139" i="3"/>
  <c r="H144" i="4" s="1"/>
  <c r="B138" i="3"/>
  <c r="C138" i="3" s="1"/>
  <c r="A144" i="4" l="1"/>
  <c r="J145" i="4"/>
  <c r="C142" i="4"/>
  <c r="W137" i="3"/>
  <c r="D138" i="3"/>
  <c r="B143" i="4"/>
  <c r="Q140" i="3"/>
  <c r="P145" i="4" s="1"/>
  <c r="P140" i="3"/>
  <c r="O145" i="4" s="1"/>
  <c r="L140" i="3"/>
  <c r="N145" i="4" s="1"/>
  <c r="J140" i="3"/>
  <c r="L145" i="4" s="1"/>
  <c r="I140" i="3"/>
  <c r="K145" i="4" s="1"/>
  <c r="A140" i="3"/>
  <c r="N141" i="3" s="1"/>
  <c r="M140" i="3"/>
  <c r="H145" i="4" s="1"/>
  <c r="B139" i="3"/>
  <c r="C139" i="3" s="1"/>
  <c r="S138" i="3"/>
  <c r="T138" i="3" s="1"/>
  <c r="U138" i="3"/>
  <c r="V138" i="3" s="1"/>
  <c r="A145" i="4" l="1"/>
  <c r="J146" i="4"/>
  <c r="C143" i="4"/>
  <c r="W138" i="3"/>
  <c r="D139" i="3"/>
  <c r="B144" i="4"/>
  <c r="Q141" i="3"/>
  <c r="P146" i="4" s="1"/>
  <c r="P141" i="3"/>
  <c r="O146" i="4" s="1"/>
  <c r="L141" i="3"/>
  <c r="N146" i="4" s="1"/>
  <c r="J141" i="3"/>
  <c r="L146" i="4" s="1"/>
  <c r="I141" i="3"/>
  <c r="K146" i="4" s="1"/>
  <c r="U139" i="3"/>
  <c r="V139" i="3" s="1"/>
  <c r="S139" i="3"/>
  <c r="T139" i="3" s="1"/>
  <c r="A141" i="3"/>
  <c r="N142" i="3" s="1"/>
  <c r="M141" i="3"/>
  <c r="H146" i="4" s="1"/>
  <c r="B140" i="3"/>
  <c r="C140" i="3" s="1"/>
  <c r="A146" i="4" l="1"/>
  <c r="J147" i="4"/>
  <c r="C144" i="4"/>
  <c r="W139" i="3"/>
  <c r="D140" i="3"/>
  <c r="B145" i="4"/>
  <c r="Q142" i="3"/>
  <c r="P147" i="4" s="1"/>
  <c r="P142" i="3"/>
  <c r="O147" i="4" s="1"/>
  <c r="L142" i="3"/>
  <c r="N147" i="4" s="1"/>
  <c r="J142" i="3"/>
  <c r="L147" i="4" s="1"/>
  <c r="I142" i="3"/>
  <c r="K147" i="4" s="1"/>
  <c r="A142" i="3"/>
  <c r="N143" i="3" s="1"/>
  <c r="M142" i="3"/>
  <c r="H147" i="4" s="1"/>
  <c r="B141" i="3"/>
  <c r="C141" i="3" s="1"/>
  <c r="S140" i="3"/>
  <c r="T140" i="3" s="1"/>
  <c r="U140" i="3"/>
  <c r="V140" i="3" s="1"/>
  <c r="A147" i="4" l="1"/>
  <c r="J148" i="4"/>
  <c r="C145" i="4"/>
  <c r="W140" i="3"/>
  <c r="D141" i="3"/>
  <c r="B146" i="4"/>
  <c r="Q143" i="3"/>
  <c r="P148" i="4" s="1"/>
  <c r="P143" i="3"/>
  <c r="O148" i="4" s="1"/>
  <c r="L143" i="3"/>
  <c r="N148" i="4" s="1"/>
  <c r="J143" i="3"/>
  <c r="L148" i="4" s="1"/>
  <c r="I143" i="3"/>
  <c r="K148" i="4" s="1"/>
  <c r="S141" i="3"/>
  <c r="T141" i="3" s="1"/>
  <c r="U141" i="3"/>
  <c r="V141" i="3" s="1"/>
  <c r="A143" i="3"/>
  <c r="N144" i="3" s="1"/>
  <c r="M143" i="3"/>
  <c r="H148" i="4" s="1"/>
  <c r="B142" i="3"/>
  <c r="C142" i="3" s="1"/>
  <c r="A148" i="4" l="1"/>
  <c r="J149" i="4"/>
  <c r="C146" i="4"/>
  <c r="W141" i="3"/>
  <c r="D142" i="3"/>
  <c r="B147" i="4"/>
  <c r="Q144" i="3"/>
  <c r="P149" i="4" s="1"/>
  <c r="P144" i="3"/>
  <c r="O149" i="4" s="1"/>
  <c r="L144" i="3"/>
  <c r="N149" i="4" s="1"/>
  <c r="J144" i="3"/>
  <c r="L149" i="4" s="1"/>
  <c r="I144" i="3"/>
  <c r="K149" i="4" s="1"/>
  <c r="S142" i="3"/>
  <c r="T142" i="3" s="1"/>
  <c r="U142" i="3"/>
  <c r="V142" i="3" s="1"/>
  <c r="A144" i="3"/>
  <c r="N145" i="3" s="1"/>
  <c r="AE12" i="3" s="1"/>
  <c r="M144" i="3"/>
  <c r="H149" i="4" s="1"/>
  <c r="B143" i="3"/>
  <c r="C143" i="3" s="1"/>
  <c r="B148" i="4" s="1"/>
  <c r="A149" i="4" l="1"/>
  <c r="J150" i="4"/>
  <c r="C147" i="4"/>
  <c r="W142" i="3"/>
  <c r="Q145" i="3"/>
  <c r="P150" i="4" s="1"/>
  <c r="P145" i="3"/>
  <c r="O150" i="4" s="1"/>
  <c r="L145" i="3"/>
  <c r="N150" i="4" s="1"/>
  <c r="J145" i="3"/>
  <c r="L150" i="4" s="1"/>
  <c r="I145" i="3"/>
  <c r="K150" i="4" s="1"/>
  <c r="A145" i="3"/>
  <c r="N146" i="3" s="1"/>
  <c r="M145" i="3"/>
  <c r="H150" i="4" s="1"/>
  <c r="B144" i="3"/>
  <c r="C144" i="3" s="1"/>
  <c r="D143" i="3"/>
  <c r="S143" i="3"/>
  <c r="T143" i="3" s="1"/>
  <c r="U143" i="3"/>
  <c r="V143" i="3" s="1"/>
  <c r="A150" i="4" l="1"/>
  <c r="J151" i="4"/>
  <c r="C148" i="4"/>
  <c r="W143" i="3"/>
  <c r="D144" i="3"/>
  <c r="B149" i="4"/>
  <c r="Q146" i="3"/>
  <c r="P151" i="4" s="1"/>
  <c r="P146" i="3"/>
  <c r="O151" i="4" s="1"/>
  <c r="L146" i="3"/>
  <c r="N151" i="4" s="1"/>
  <c r="J146" i="3"/>
  <c r="L151" i="4" s="1"/>
  <c r="I146" i="3"/>
  <c r="K151" i="4" s="1"/>
  <c r="S144" i="3"/>
  <c r="T144" i="3" s="1"/>
  <c r="U144" i="3"/>
  <c r="V144" i="3" s="1"/>
  <c r="A146" i="3"/>
  <c r="N147" i="3" s="1"/>
  <c r="M146" i="3"/>
  <c r="H151" i="4" s="1"/>
  <c r="B145" i="3"/>
  <c r="C145" i="3" s="1"/>
  <c r="A151" i="4" l="1"/>
  <c r="J152" i="4"/>
  <c r="C149" i="4"/>
  <c r="W144" i="3"/>
  <c r="D145" i="3"/>
  <c r="B150" i="4"/>
  <c r="Q147" i="3"/>
  <c r="P152" i="4" s="1"/>
  <c r="P147" i="3"/>
  <c r="O152" i="4" s="1"/>
  <c r="L147" i="3"/>
  <c r="N152" i="4" s="1"/>
  <c r="J147" i="3"/>
  <c r="L152" i="4" s="1"/>
  <c r="I147" i="3"/>
  <c r="K152" i="4" s="1"/>
  <c r="A147" i="3"/>
  <c r="N148" i="3" s="1"/>
  <c r="M147" i="3"/>
  <c r="H152" i="4" s="1"/>
  <c r="B146" i="3"/>
  <c r="C146" i="3" s="1"/>
  <c r="U145" i="3"/>
  <c r="V145" i="3" s="1"/>
  <c r="S145" i="3"/>
  <c r="T145" i="3" s="1"/>
  <c r="A152" i="4" l="1"/>
  <c r="J153" i="4"/>
  <c r="C150" i="4"/>
  <c r="W145" i="3"/>
  <c r="D146" i="3"/>
  <c r="B151" i="4"/>
  <c r="Q148" i="3"/>
  <c r="P153" i="4" s="1"/>
  <c r="P148" i="3"/>
  <c r="O153" i="4" s="1"/>
  <c r="L148" i="3"/>
  <c r="N153" i="4" s="1"/>
  <c r="J148" i="3"/>
  <c r="L153" i="4" s="1"/>
  <c r="I148" i="3"/>
  <c r="K153" i="4" s="1"/>
  <c r="U146" i="3"/>
  <c r="V146" i="3" s="1"/>
  <c r="S146" i="3"/>
  <c r="T146" i="3" s="1"/>
  <c r="A148" i="3"/>
  <c r="N149" i="3" s="1"/>
  <c r="M148" i="3"/>
  <c r="H153" i="4" s="1"/>
  <c r="B147" i="3"/>
  <c r="C147" i="3" s="1"/>
  <c r="A153" i="4" l="1"/>
  <c r="J154" i="4"/>
  <c r="C151" i="4"/>
  <c r="W146" i="3"/>
  <c r="D147" i="3"/>
  <c r="B152" i="4"/>
  <c r="Q149" i="3"/>
  <c r="P154" i="4" s="1"/>
  <c r="P149" i="3"/>
  <c r="O154" i="4" s="1"/>
  <c r="L149" i="3"/>
  <c r="N154" i="4" s="1"/>
  <c r="J149" i="3"/>
  <c r="L154" i="4" s="1"/>
  <c r="I149" i="3"/>
  <c r="K154" i="4" s="1"/>
  <c r="A149" i="3"/>
  <c r="N150" i="3" s="1"/>
  <c r="M149" i="3"/>
  <c r="H154" i="4" s="1"/>
  <c r="B148" i="3"/>
  <c r="C148" i="3" s="1"/>
  <c r="U147" i="3"/>
  <c r="V147" i="3" s="1"/>
  <c r="S147" i="3"/>
  <c r="T147" i="3" s="1"/>
  <c r="A154" i="4" l="1"/>
  <c r="J155" i="4"/>
  <c r="C152" i="4"/>
  <c r="W147" i="3"/>
  <c r="D148" i="3"/>
  <c r="B153" i="4"/>
  <c r="Q150" i="3"/>
  <c r="P155" i="4" s="1"/>
  <c r="P150" i="3"/>
  <c r="O155" i="4" s="1"/>
  <c r="L150" i="3"/>
  <c r="N155" i="4" s="1"/>
  <c r="J150" i="3"/>
  <c r="L155" i="4" s="1"/>
  <c r="I150" i="3"/>
  <c r="K155" i="4" s="1"/>
  <c r="U148" i="3"/>
  <c r="V148" i="3" s="1"/>
  <c r="S148" i="3"/>
  <c r="T148" i="3" s="1"/>
  <c r="A150" i="3"/>
  <c r="N151" i="3" s="1"/>
  <c r="M150" i="3"/>
  <c r="H155" i="4" s="1"/>
  <c r="B149" i="3"/>
  <c r="C149" i="3" s="1"/>
  <c r="A155" i="4" l="1"/>
  <c r="J156" i="4"/>
  <c r="C153" i="4"/>
  <c r="W148" i="3"/>
  <c r="D149" i="3"/>
  <c r="B154" i="4"/>
  <c r="Q151" i="3"/>
  <c r="P156" i="4" s="1"/>
  <c r="P151" i="3"/>
  <c r="O156" i="4" s="1"/>
  <c r="L151" i="3"/>
  <c r="N156" i="4" s="1"/>
  <c r="J151" i="3"/>
  <c r="L156" i="4" s="1"/>
  <c r="I151" i="3"/>
  <c r="K156" i="4" s="1"/>
  <c r="A151" i="3"/>
  <c r="N152" i="3" s="1"/>
  <c r="M151" i="3"/>
  <c r="H156" i="4" s="1"/>
  <c r="B150" i="3"/>
  <c r="C150" i="3" s="1"/>
  <c r="S149" i="3"/>
  <c r="T149" i="3" s="1"/>
  <c r="U149" i="3"/>
  <c r="V149" i="3" s="1"/>
  <c r="A156" i="4" l="1"/>
  <c r="J157" i="4"/>
  <c r="C154" i="4"/>
  <c r="W149" i="3"/>
  <c r="D150" i="3"/>
  <c r="B155" i="4"/>
  <c r="Q152" i="3"/>
  <c r="P157" i="4" s="1"/>
  <c r="P152" i="3"/>
  <c r="O157" i="4" s="1"/>
  <c r="L152" i="3"/>
  <c r="N157" i="4" s="1"/>
  <c r="J152" i="3"/>
  <c r="L157" i="4" s="1"/>
  <c r="I152" i="3"/>
  <c r="K157" i="4" s="1"/>
  <c r="U150" i="3"/>
  <c r="V150" i="3" s="1"/>
  <c r="S150" i="3"/>
  <c r="T150" i="3" s="1"/>
  <c r="A152" i="3"/>
  <c r="N153" i="3" s="1"/>
  <c r="M152" i="3"/>
  <c r="H157" i="4" s="1"/>
  <c r="B151" i="3"/>
  <c r="C151" i="3" s="1"/>
  <c r="A157" i="4" l="1"/>
  <c r="J158" i="4"/>
  <c r="C155" i="4"/>
  <c r="W150" i="3"/>
  <c r="D151" i="3"/>
  <c r="B156" i="4"/>
  <c r="Q153" i="3"/>
  <c r="P158" i="4" s="1"/>
  <c r="P153" i="3"/>
  <c r="O158" i="4" s="1"/>
  <c r="L153" i="3"/>
  <c r="N158" i="4" s="1"/>
  <c r="J153" i="3"/>
  <c r="L158" i="4" s="1"/>
  <c r="I153" i="3"/>
  <c r="K158" i="4" s="1"/>
  <c r="A153" i="3"/>
  <c r="N154" i="3" s="1"/>
  <c r="M153" i="3"/>
  <c r="H158" i="4" s="1"/>
  <c r="B152" i="3"/>
  <c r="C152" i="3" s="1"/>
  <c r="U151" i="3"/>
  <c r="V151" i="3" s="1"/>
  <c r="S151" i="3"/>
  <c r="T151" i="3" s="1"/>
  <c r="A158" i="4" l="1"/>
  <c r="J159" i="4"/>
  <c r="C156" i="4"/>
  <c r="W151" i="3"/>
  <c r="D152" i="3"/>
  <c r="B157" i="4"/>
  <c r="Q154" i="3"/>
  <c r="P159" i="4" s="1"/>
  <c r="P154" i="3"/>
  <c r="O159" i="4" s="1"/>
  <c r="L154" i="3"/>
  <c r="N159" i="4" s="1"/>
  <c r="J154" i="3"/>
  <c r="L159" i="4" s="1"/>
  <c r="I154" i="3"/>
  <c r="K159" i="4" s="1"/>
  <c r="S152" i="3"/>
  <c r="T152" i="3" s="1"/>
  <c r="U152" i="3"/>
  <c r="V152" i="3" s="1"/>
  <c r="A154" i="3"/>
  <c r="N155" i="3" s="1"/>
  <c r="M154" i="3"/>
  <c r="H159" i="4" s="1"/>
  <c r="B153" i="3"/>
  <c r="C153" i="3" s="1"/>
  <c r="A159" i="4" l="1"/>
  <c r="J160" i="4"/>
  <c r="C157" i="4"/>
  <c r="W152" i="3"/>
  <c r="D153" i="3"/>
  <c r="B158" i="4"/>
  <c r="Q155" i="3"/>
  <c r="P160" i="4" s="1"/>
  <c r="P155" i="3"/>
  <c r="O160" i="4" s="1"/>
  <c r="L155" i="3"/>
  <c r="N160" i="4" s="1"/>
  <c r="J155" i="3"/>
  <c r="L160" i="4" s="1"/>
  <c r="I155" i="3"/>
  <c r="K160" i="4" s="1"/>
  <c r="S153" i="3"/>
  <c r="T153" i="3" s="1"/>
  <c r="U153" i="3"/>
  <c r="V153" i="3" s="1"/>
  <c r="A155" i="3"/>
  <c r="N156" i="3" s="1"/>
  <c r="M155" i="3"/>
  <c r="H160" i="4" s="1"/>
  <c r="B154" i="3"/>
  <c r="C154" i="3" s="1"/>
  <c r="A160" i="4" l="1"/>
  <c r="J161" i="4"/>
  <c r="C158" i="4"/>
  <c r="W153" i="3"/>
  <c r="D154" i="3"/>
  <c r="B159" i="4"/>
  <c r="Q156" i="3"/>
  <c r="P161" i="4" s="1"/>
  <c r="P156" i="3"/>
  <c r="O161" i="4" s="1"/>
  <c r="L156" i="3"/>
  <c r="N161" i="4" s="1"/>
  <c r="J156" i="3"/>
  <c r="L161" i="4" s="1"/>
  <c r="I156" i="3"/>
  <c r="K161" i="4" s="1"/>
  <c r="A156" i="3"/>
  <c r="N157" i="3" s="1"/>
  <c r="AE13" i="3" s="1"/>
  <c r="M156" i="3"/>
  <c r="H161" i="4" s="1"/>
  <c r="B155" i="3"/>
  <c r="C155" i="3" s="1"/>
  <c r="S154" i="3"/>
  <c r="T154" i="3" s="1"/>
  <c r="U154" i="3"/>
  <c r="V154" i="3" s="1"/>
  <c r="A161" i="4" l="1"/>
  <c r="J162" i="4"/>
  <c r="C159" i="4"/>
  <c r="W154" i="3"/>
  <c r="D155" i="3"/>
  <c r="B160" i="4"/>
  <c r="Q157" i="3"/>
  <c r="P162" i="4" s="1"/>
  <c r="P157" i="3"/>
  <c r="O162" i="4" s="1"/>
  <c r="L157" i="3"/>
  <c r="N162" i="4" s="1"/>
  <c r="J157" i="3"/>
  <c r="L162" i="4" s="1"/>
  <c r="I157" i="3"/>
  <c r="K162" i="4" s="1"/>
  <c r="S155" i="3"/>
  <c r="T155" i="3" s="1"/>
  <c r="U155" i="3"/>
  <c r="V155" i="3" s="1"/>
  <c r="A157" i="3"/>
  <c r="N158" i="3" s="1"/>
  <c r="M157" i="3"/>
  <c r="H162" i="4" s="1"/>
  <c r="B156" i="3"/>
  <c r="C156" i="3" s="1"/>
  <c r="A162" i="4" l="1"/>
  <c r="J163" i="4"/>
  <c r="C160" i="4"/>
  <c r="W155" i="3"/>
  <c r="D156" i="3"/>
  <c r="B161" i="4"/>
  <c r="Q158" i="3"/>
  <c r="P163" i="4" s="1"/>
  <c r="P158" i="3"/>
  <c r="O163" i="4" s="1"/>
  <c r="L158" i="3"/>
  <c r="N163" i="4" s="1"/>
  <c r="J158" i="3"/>
  <c r="L163" i="4" s="1"/>
  <c r="I158" i="3"/>
  <c r="K163" i="4" s="1"/>
  <c r="A158" i="3"/>
  <c r="N159" i="3" s="1"/>
  <c r="M158" i="3"/>
  <c r="H163" i="4" s="1"/>
  <c r="B157" i="3"/>
  <c r="C157" i="3" s="1"/>
  <c r="S156" i="3"/>
  <c r="T156" i="3" s="1"/>
  <c r="U156" i="3"/>
  <c r="V156" i="3" s="1"/>
  <c r="A163" i="4" l="1"/>
  <c r="J164" i="4"/>
  <c r="C161" i="4"/>
  <c r="W156" i="3"/>
  <c r="D157" i="3"/>
  <c r="B162" i="4"/>
  <c r="Q159" i="3"/>
  <c r="P164" i="4" s="1"/>
  <c r="P159" i="3"/>
  <c r="O164" i="4" s="1"/>
  <c r="L159" i="3"/>
  <c r="N164" i="4" s="1"/>
  <c r="J159" i="3"/>
  <c r="L164" i="4" s="1"/>
  <c r="I159" i="3"/>
  <c r="K164" i="4" s="1"/>
  <c r="S157" i="3"/>
  <c r="T157" i="3" s="1"/>
  <c r="U157" i="3"/>
  <c r="V157" i="3" s="1"/>
  <c r="A159" i="3"/>
  <c r="N160" i="3" s="1"/>
  <c r="M159" i="3"/>
  <c r="H164" i="4" s="1"/>
  <c r="B158" i="3"/>
  <c r="C158" i="3" s="1"/>
  <c r="A164" i="4" l="1"/>
  <c r="J165" i="4"/>
  <c r="C162" i="4"/>
  <c r="W157" i="3"/>
  <c r="D158" i="3"/>
  <c r="B163" i="4"/>
  <c r="Q160" i="3"/>
  <c r="P165" i="4" s="1"/>
  <c r="P160" i="3"/>
  <c r="O165" i="4" s="1"/>
  <c r="L160" i="3"/>
  <c r="N165" i="4" s="1"/>
  <c r="J160" i="3"/>
  <c r="L165" i="4" s="1"/>
  <c r="I160" i="3"/>
  <c r="K165" i="4" s="1"/>
  <c r="A160" i="3"/>
  <c r="N161" i="3" s="1"/>
  <c r="M160" i="3"/>
  <c r="H165" i="4" s="1"/>
  <c r="B159" i="3"/>
  <c r="C159" i="3" s="1"/>
  <c r="S158" i="3"/>
  <c r="T158" i="3" s="1"/>
  <c r="U158" i="3"/>
  <c r="V158" i="3" s="1"/>
  <c r="A165" i="4" l="1"/>
  <c r="J166" i="4"/>
  <c r="C163" i="4"/>
  <c r="W158" i="3"/>
  <c r="D159" i="3"/>
  <c r="B164" i="4"/>
  <c r="Q161" i="3"/>
  <c r="P166" i="4" s="1"/>
  <c r="P161" i="3"/>
  <c r="O166" i="4" s="1"/>
  <c r="L161" i="3"/>
  <c r="N166" i="4" s="1"/>
  <c r="J161" i="3"/>
  <c r="L166" i="4" s="1"/>
  <c r="I161" i="3"/>
  <c r="K166" i="4" s="1"/>
  <c r="U159" i="3"/>
  <c r="V159" i="3" s="1"/>
  <c r="S159" i="3"/>
  <c r="T159" i="3" s="1"/>
  <c r="A161" i="3"/>
  <c r="N162" i="3" s="1"/>
  <c r="M161" i="3"/>
  <c r="H166" i="4" s="1"/>
  <c r="B160" i="3"/>
  <c r="C160" i="3" s="1"/>
  <c r="A166" i="4" l="1"/>
  <c r="J167" i="4"/>
  <c r="C164" i="4"/>
  <c r="W159" i="3"/>
  <c r="D160" i="3"/>
  <c r="B165" i="4"/>
  <c r="Q162" i="3"/>
  <c r="P167" i="4" s="1"/>
  <c r="P162" i="3"/>
  <c r="O167" i="4" s="1"/>
  <c r="L162" i="3"/>
  <c r="N167" i="4" s="1"/>
  <c r="J162" i="3"/>
  <c r="L167" i="4" s="1"/>
  <c r="I162" i="3"/>
  <c r="K167" i="4" s="1"/>
  <c r="A162" i="3"/>
  <c r="N163" i="3" s="1"/>
  <c r="M162" i="3"/>
  <c r="H167" i="4" s="1"/>
  <c r="B161" i="3"/>
  <c r="C161" i="3" s="1"/>
  <c r="B166" i="4" s="1"/>
  <c r="S160" i="3"/>
  <c r="T160" i="3" s="1"/>
  <c r="U160" i="3"/>
  <c r="V160" i="3" s="1"/>
  <c r="A167" i="4" l="1"/>
  <c r="J168" i="4"/>
  <c r="C165" i="4"/>
  <c r="W160" i="3"/>
  <c r="Q163" i="3"/>
  <c r="P168" i="4" s="1"/>
  <c r="P163" i="3"/>
  <c r="O168" i="4" s="1"/>
  <c r="L163" i="3"/>
  <c r="N168" i="4" s="1"/>
  <c r="J163" i="3"/>
  <c r="L168" i="4" s="1"/>
  <c r="I163" i="3"/>
  <c r="K168" i="4" s="1"/>
  <c r="D161" i="3"/>
  <c r="U161" i="3"/>
  <c r="V161" i="3" s="1"/>
  <c r="S161" i="3"/>
  <c r="T161" i="3" s="1"/>
  <c r="A163" i="3"/>
  <c r="N164" i="3" s="1"/>
  <c r="M163" i="3"/>
  <c r="H168" i="4" s="1"/>
  <c r="B162" i="3"/>
  <c r="C162" i="3" s="1"/>
  <c r="A168" i="4" l="1"/>
  <c r="J169" i="4"/>
  <c r="C166" i="4"/>
  <c r="W161" i="3"/>
  <c r="D162" i="3"/>
  <c r="B167" i="4"/>
  <c r="Q164" i="3"/>
  <c r="P169" i="4" s="1"/>
  <c r="P164" i="3"/>
  <c r="O169" i="4" s="1"/>
  <c r="L164" i="3"/>
  <c r="N169" i="4" s="1"/>
  <c r="J164" i="3"/>
  <c r="L169" i="4" s="1"/>
  <c r="I164" i="3"/>
  <c r="K169" i="4" s="1"/>
  <c r="S162" i="3"/>
  <c r="T162" i="3" s="1"/>
  <c r="U162" i="3"/>
  <c r="V162" i="3" s="1"/>
  <c r="A164" i="3"/>
  <c r="N165" i="3" s="1"/>
  <c r="M164" i="3"/>
  <c r="H169" i="4" s="1"/>
  <c r="B163" i="3"/>
  <c r="C163" i="3" s="1"/>
  <c r="A169" i="4" l="1"/>
  <c r="J170" i="4"/>
  <c r="C167" i="4"/>
  <c r="W162" i="3"/>
  <c r="D163" i="3"/>
  <c r="B168" i="4"/>
  <c r="Q165" i="3"/>
  <c r="P170" i="4" s="1"/>
  <c r="P165" i="3"/>
  <c r="O170" i="4" s="1"/>
  <c r="L165" i="3"/>
  <c r="N170" i="4" s="1"/>
  <c r="J165" i="3"/>
  <c r="L170" i="4" s="1"/>
  <c r="I165" i="3"/>
  <c r="K170" i="4" s="1"/>
  <c r="S163" i="3"/>
  <c r="T163" i="3" s="1"/>
  <c r="U163" i="3"/>
  <c r="V163" i="3" s="1"/>
  <c r="A165" i="3"/>
  <c r="N166" i="3" s="1"/>
  <c r="M165" i="3"/>
  <c r="H170" i="4" s="1"/>
  <c r="B164" i="3"/>
  <c r="C164" i="3" s="1"/>
  <c r="A170" i="4" l="1"/>
  <c r="J171" i="4"/>
  <c r="C168" i="4"/>
  <c r="W163" i="3"/>
  <c r="D164" i="3"/>
  <c r="B169" i="4"/>
  <c r="Q166" i="3"/>
  <c r="P171" i="4" s="1"/>
  <c r="P166" i="3"/>
  <c r="O171" i="4" s="1"/>
  <c r="L166" i="3"/>
  <c r="N171" i="4" s="1"/>
  <c r="J166" i="3"/>
  <c r="L171" i="4" s="1"/>
  <c r="I166" i="3"/>
  <c r="K171" i="4" s="1"/>
  <c r="A166" i="3"/>
  <c r="N167" i="3" s="1"/>
  <c r="M166" i="3"/>
  <c r="H171" i="4" s="1"/>
  <c r="B165" i="3"/>
  <c r="C165" i="3" s="1"/>
  <c r="S164" i="3"/>
  <c r="T164" i="3" s="1"/>
  <c r="U164" i="3"/>
  <c r="V164" i="3" s="1"/>
  <c r="A171" i="4" l="1"/>
  <c r="J172" i="4"/>
  <c r="C169" i="4"/>
  <c r="W164" i="3"/>
  <c r="D165" i="3"/>
  <c r="B170" i="4"/>
  <c r="Q167" i="3"/>
  <c r="P172" i="4" s="1"/>
  <c r="P167" i="3"/>
  <c r="O172" i="4" s="1"/>
  <c r="L167" i="3"/>
  <c r="N172" i="4" s="1"/>
  <c r="J167" i="3"/>
  <c r="L172" i="4" s="1"/>
  <c r="I167" i="3"/>
  <c r="K172" i="4" s="1"/>
  <c r="S165" i="3"/>
  <c r="T165" i="3" s="1"/>
  <c r="U165" i="3"/>
  <c r="V165" i="3" s="1"/>
  <c r="A167" i="3"/>
  <c r="N168" i="3" s="1"/>
  <c r="M167" i="3"/>
  <c r="H172" i="4" s="1"/>
  <c r="B166" i="3"/>
  <c r="C166" i="3" s="1"/>
  <c r="A172" i="4" l="1"/>
  <c r="J173" i="4"/>
  <c r="C170" i="4"/>
  <c r="W165" i="3"/>
  <c r="D166" i="3"/>
  <c r="B171" i="4"/>
  <c r="Q168" i="3"/>
  <c r="P173" i="4" s="1"/>
  <c r="P168" i="3"/>
  <c r="O173" i="4" s="1"/>
  <c r="L168" i="3"/>
  <c r="N173" i="4" s="1"/>
  <c r="J168" i="3"/>
  <c r="L173" i="4" s="1"/>
  <c r="I168" i="3"/>
  <c r="K173" i="4" s="1"/>
  <c r="A168" i="3"/>
  <c r="N169" i="3" s="1"/>
  <c r="AE14" i="3" s="1"/>
  <c r="M168" i="3"/>
  <c r="H173" i="4" s="1"/>
  <c r="B167" i="3"/>
  <c r="C167" i="3" s="1"/>
  <c r="S166" i="3"/>
  <c r="T166" i="3" s="1"/>
  <c r="U166" i="3"/>
  <c r="V166" i="3" s="1"/>
  <c r="A173" i="4" l="1"/>
  <c r="J174" i="4"/>
  <c r="C171" i="4"/>
  <c r="W166" i="3"/>
  <c r="D167" i="3"/>
  <c r="B172" i="4"/>
  <c r="Q169" i="3"/>
  <c r="P174" i="4" s="1"/>
  <c r="P169" i="3"/>
  <c r="O174" i="4" s="1"/>
  <c r="L169" i="3"/>
  <c r="N174" i="4" s="1"/>
  <c r="J169" i="3"/>
  <c r="L174" i="4" s="1"/>
  <c r="I169" i="3"/>
  <c r="K174" i="4" s="1"/>
  <c r="S167" i="3"/>
  <c r="T167" i="3" s="1"/>
  <c r="U167" i="3"/>
  <c r="V167" i="3" s="1"/>
  <c r="A169" i="3"/>
  <c r="N170" i="3" s="1"/>
  <c r="M169" i="3"/>
  <c r="H174" i="4" s="1"/>
  <c r="B168" i="3"/>
  <c r="C168" i="3" s="1"/>
  <c r="A174" i="4" l="1"/>
  <c r="J175" i="4"/>
  <c r="C172" i="4"/>
  <c r="W167" i="3"/>
  <c r="D168" i="3"/>
  <c r="B173" i="4"/>
  <c r="Q170" i="3"/>
  <c r="P175" i="4" s="1"/>
  <c r="P170" i="3"/>
  <c r="O175" i="4" s="1"/>
  <c r="L170" i="3"/>
  <c r="N175" i="4" s="1"/>
  <c r="J170" i="3"/>
  <c r="L175" i="4" s="1"/>
  <c r="I170" i="3"/>
  <c r="K175" i="4" s="1"/>
  <c r="A170" i="3"/>
  <c r="N171" i="3" s="1"/>
  <c r="M170" i="3"/>
  <c r="H175" i="4" s="1"/>
  <c r="B169" i="3"/>
  <c r="C169" i="3" s="1"/>
  <c r="U168" i="3"/>
  <c r="V168" i="3" s="1"/>
  <c r="S168" i="3"/>
  <c r="T168" i="3" s="1"/>
  <c r="A175" i="4" l="1"/>
  <c r="J176" i="4"/>
  <c r="C173" i="4"/>
  <c r="W168" i="3"/>
  <c r="D169" i="3"/>
  <c r="B174" i="4"/>
  <c r="Q171" i="3"/>
  <c r="P176" i="4" s="1"/>
  <c r="P171" i="3"/>
  <c r="O176" i="4" s="1"/>
  <c r="L171" i="3"/>
  <c r="N176" i="4" s="1"/>
  <c r="J171" i="3"/>
  <c r="L176" i="4" s="1"/>
  <c r="I171" i="3"/>
  <c r="K176" i="4" s="1"/>
  <c r="S169" i="3"/>
  <c r="T169" i="3" s="1"/>
  <c r="U169" i="3"/>
  <c r="V169" i="3" s="1"/>
  <c r="A171" i="3"/>
  <c r="N172" i="3" s="1"/>
  <c r="M171" i="3"/>
  <c r="H176" i="4" s="1"/>
  <c r="B170" i="3"/>
  <c r="C170" i="3" s="1"/>
  <c r="A176" i="4" l="1"/>
  <c r="J177" i="4"/>
  <c r="C174" i="4"/>
  <c r="W169" i="3"/>
  <c r="D170" i="3"/>
  <c r="B175" i="4"/>
  <c r="Q172" i="3"/>
  <c r="P177" i="4" s="1"/>
  <c r="P172" i="3"/>
  <c r="O177" i="4" s="1"/>
  <c r="L172" i="3"/>
  <c r="N177" i="4" s="1"/>
  <c r="J172" i="3"/>
  <c r="L177" i="4" s="1"/>
  <c r="I172" i="3"/>
  <c r="K177" i="4" s="1"/>
  <c r="A172" i="3"/>
  <c r="N173" i="3" s="1"/>
  <c r="M172" i="3"/>
  <c r="H177" i="4" s="1"/>
  <c r="B171" i="3"/>
  <c r="C171" i="3" s="1"/>
  <c r="U170" i="3"/>
  <c r="V170" i="3" s="1"/>
  <c r="S170" i="3"/>
  <c r="T170" i="3" s="1"/>
  <c r="A177" i="4" l="1"/>
  <c r="J178" i="4"/>
  <c r="C175" i="4"/>
  <c r="W170" i="3"/>
  <c r="D171" i="3"/>
  <c r="B176" i="4"/>
  <c r="Q173" i="3"/>
  <c r="P178" i="4" s="1"/>
  <c r="P173" i="3"/>
  <c r="O178" i="4" s="1"/>
  <c r="L173" i="3"/>
  <c r="N178" i="4" s="1"/>
  <c r="J173" i="3"/>
  <c r="L178" i="4" s="1"/>
  <c r="I173" i="3"/>
  <c r="K178" i="4" s="1"/>
  <c r="U171" i="3"/>
  <c r="V171" i="3" s="1"/>
  <c r="S171" i="3"/>
  <c r="T171" i="3" s="1"/>
  <c r="A173" i="3"/>
  <c r="N174" i="3" s="1"/>
  <c r="M173" i="3"/>
  <c r="H178" i="4" s="1"/>
  <c r="B172" i="3"/>
  <c r="C172" i="3" s="1"/>
  <c r="A178" i="4" l="1"/>
  <c r="J179" i="4"/>
  <c r="C176" i="4"/>
  <c r="W171" i="3"/>
  <c r="D172" i="3"/>
  <c r="B177" i="4"/>
  <c r="Q174" i="3"/>
  <c r="P179" i="4" s="1"/>
  <c r="P174" i="3"/>
  <c r="O179" i="4" s="1"/>
  <c r="L174" i="3"/>
  <c r="N179" i="4" s="1"/>
  <c r="J174" i="3"/>
  <c r="L179" i="4" s="1"/>
  <c r="I174" i="3"/>
  <c r="K179" i="4" s="1"/>
  <c r="S172" i="3"/>
  <c r="T172" i="3" s="1"/>
  <c r="U172" i="3"/>
  <c r="V172" i="3" s="1"/>
  <c r="A174" i="3"/>
  <c r="N175" i="3" s="1"/>
  <c r="M174" i="3"/>
  <c r="H179" i="4" s="1"/>
  <c r="B173" i="3"/>
  <c r="C173" i="3" s="1"/>
  <c r="A179" i="4" l="1"/>
  <c r="J180" i="4"/>
  <c r="C177" i="4"/>
  <c r="W172" i="3"/>
  <c r="D173" i="3"/>
  <c r="B178" i="4"/>
  <c r="Q175" i="3"/>
  <c r="P180" i="4" s="1"/>
  <c r="P175" i="3"/>
  <c r="O180" i="4" s="1"/>
  <c r="L175" i="3"/>
  <c r="N180" i="4" s="1"/>
  <c r="J175" i="3"/>
  <c r="L180" i="4" s="1"/>
  <c r="I175" i="3"/>
  <c r="K180" i="4" s="1"/>
  <c r="A175" i="3"/>
  <c r="N176" i="3" s="1"/>
  <c r="M175" i="3"/>
  <c r="H180" i="4" s="1"/>
  <c r="B174" i="3"/>
  <c r="C174" i="3" s="1"/>
  <c r="S173" i="3"/>
  <c r="T173" i="3" s="1"/>
  <c r="U173" i="3"/>
  <c r="V173" i="3" s="1"/>
  <c r="A180" i="4" l="1"/>
  <c r="J181" i="4"/>
  <c r="C178" i="4"/>
  <c r="W173" i="3"/>
  <c r="D174" i="3"/>
  <c r="B179" i="4"/>
  <c r="Q176" i="3"/>
  <c r="P181" i="4" s="1"/>
  <c r="P176" i="3"/>
  <c r="O181" i="4" s="1"/>
  <c r="L176" i="3"/>
  <c r="N181" i="4" s="1"/>
  <c r="J176" i="3"/>
  <c r="L181" i="4" s="1"/>
  <c r="I176" i="3"/>
  <c r="K181" i="4" s="1"/>
  <c r="S174" i="3"/>
  <c r="T174" i="3" s="1"/>
  <c r="U174" i="3"/>
  <c r="V174" i="3" s="1"/>
  <c r="A176" i="3"/>
  <c r="N177" i="3" s="1"/>
  <c r="M176" i="3"/>
  <c r="H181" i="4" s="1"/>
  <c r="B175" i="3"/>
  <c r="C175" i="3" s="1"/>
  <c r="A181" i="4" l="1"/>
  <c r="J182" i="4"/>
  <c r="C179" i="4"/>
  <c r="W174" i="3"/>
  <c r="D175" i="3"/>
  <c r="B180" i="4"/>
  <c r="Q177" i="3"/>
  <c r="P182" i="4" s="1"/>
  <c r="P177" i="3"/>
  <c r="O182" i="4" s="1"/>
  <c r="L177" i="3"/>
  <c r="N182" i="4" s="1"/>
  <c r="J177" i="3"/>
  <c r="L182" i="4" s="1"/>
  <c r="I177" i="3"/>
  <c r="K182" i="4" s="1"/>
  <c r="A177" i="3"/>
  <c r="N178" i="3" s="1"/>
  <c r="M177" i="3"/>
  <c r="H182" i="4" s="1"/>
  <c r="B176" i="3"/>
  <c r="C176" i="3" s="1"/>
  <c r="S175" i="3"/>
  <c r="T175" i="3" s="1"/>
  <c r="U175" i="3"/>
  <c r="V175" i="3" s="1"/>
  <c r="A182" i="4" l="1"/>
  <c r="J183" i="4"/>
  <c r="C180" i="4"/>
  <c r="W175" i="3"/>
  <c r="D176" i="3"/>
  <c r="B181" i="4"/>
  <c r="Q178" i="3"/>
  <c r="P183" i="4" s="1"/>
  <c r="P178" i="3"/>
  <c r="O183" i="4" s="1"/>
  <c r="L178" i="3"/>
  <c r="N183" i="4" s="1"/>
  <c r="J178" i="3"/>
  <c r="L183" i="4" s="1"/>
  <c r="I178" i="3"/>
  <c r="K183" i="4" s="1"/>
  <c r="S176" i="3"/>
  <c r="T176" i="3" s="1"/>
  <c r="U176" i="3"/>
  <c r="V176" i="3" s="1"/>
  <c r="A178" i="3"/>
  <c r="N179" i="3" s="1"/>
  <c r="M178" i="3"/>
  <c r="H183" i="4" s="1"/>
  <c r="B177" i="3"/>
  <c r="C177" i="3" s="1"/>
  <c r="A183" i="4" l="1"/>
  <c r="J184" i="4"/>
  <c r="C181" i="4"/>
  <c r="W176" i="3"/>
  <c r="D177" i="3"/>
  <c r="B182" i="4"/>
  <c r="Q179" i="3"/>
  <c r="P184" i="4" s="1"/>
  <c r="P179" i="3"/>
  <c r="O184" i="4" s="1"/>
  <c r="L179" i="3"/>
  <c r="N184" i="4" s="1"/>
  <c r="J179" i="3"/>
  <c r="L184" i="4" s="1"/>
  <c r="I179" i="3"/>
  <c r="K184" i="4" s="1"/>
  <c r="A179" i="3"/>
  <c r="N180" i="3" s="1"/>
  <c r="M179" i="3"/>
  <c r="H184" i="4" s="1"/>
  <c r="B178" i="3"/>
  <c r="C178" i="3" s="1"/>
  <c r="U177" i="3"/>
  <c r="V177" i="3" s="1"/>
  <c r="S177" i="3"/>
  <c r="T177" i="3" s="1"/>
  <c r="A184" i="4" l="1"/>
  <c r="J185" i="4"/>
  <c r="C182" i="4"/>
  <c r="W177" i="3"/>
  <c r="D178" i="3"/>
  <c r="B183" i="4"/>
  <c r="Q180" i="3"/>
  <c r="P185" i="4" s="1"/>
  <c r="P180" i="3"/>
  <c r="O185" i="4" s="1"/>
  <c r="L180" i="3"/>
  <c r="N185" i="4" s="1"/>
  <c r="J180" i="3"/>
  <c r="L185" i="4" s="1"/>
  <c r="I180" i="3"/>
  <c r="K185" i="4" s="1"/>
  <c r="S178" i="3"/>
  <c r="T178" i="3" s="1"/>
  <c r="U178" i="3"/>
  <c r="V178" i="3" s="1"/>
  <c r="A180" i="3"/>
  <c r="N181" i="3" s="1"/>
  <c r="AE15" i="3" s="1"/>
  <c r="M180" i="3"/>
  <c r="H185" i="4" s="1"/>
  <c r="B179" i="3"/>
  <c r="C179" i="3" s="1"/>
  <c r="A185" i="4" l="1"/>
  <c r="J186" i="4"/>
  <c r="C183" i="4"/>
  <c r="W178" i="3"/>
  <c r="D179" i="3"/>
  <c r="B184" i="4"/>
  <c r="Q181" i="3"/>
  <c r="P186" i="4" s="1"/>
  <c r="P181" i="3"/>
  <c r="O186" i="4" s="1"/>
  <c r="L181" i="3"/>
  <c r="N186" i="4" s="1"/>
  <c r="J181" i="3"/>
  <c r="L186" i="4" s="1"/>
  <c r="I181" i="3"/>
  <c r="K186" i="4" s="1"/>
  <c r="A181" i="3"/>
  <c r="N182" i="3" s="1"/>
  <c r="M181" i="3"/>
  <c r="H186" i="4" s="1"/>
  <c r="B180" i="3"/>
  <c r="C180" i="3" s="1"/>
  <c r="S179" i="3"/>
  <c r="T179" i="3" s="1"/>
  <c r="U179" i="3"/>
  <c r="V179" i="3" s="1"/>
  <c r="A186" i="4" l="1"/>
  <c r="J187" i="4"/>
  <c r="C184" i="4"/>
  <c r="W179" i="3"/>
  <c r="D180" i="3"/>
  <c r="B185" i="4"/>
  <c r="Q182" i="3"/>
  <c r="P187" i="4" s="1"/>
  <c r="P182" i="3"/>
  <c r="O187" i="4" s="1"/>
  <c r="L182" i="3"/>
  <c r="N187" i="4" s="1"/>
  <c r="J182" i="3"/>
  <c r="L187" i="4" s="1"/>
  <c r="I182" i="3"/>
  <c r="K187" i="4" s="1"/>
  <c r="U180" i="3"/>
  <c r="V180" i="3" s="1"/>
  <c r="S180" i="3"/>
  <c r="T180" i="3" s="1"/>
  <c r="A182" i="3"/>
  <c r="N183" i="3" s="1"/>
  <c r="M182" i="3"/>
  <c r="H187" i="4" s="1"/>
  <c r="B181" i="3"/>
  <c r="C181" i="3" s="1"/>
  <c r="A187" i="4" l="1"/>
  <c r="J188" i="4"/>
  <c r="C185" i="4"/>
  <c r="W180" i="3"/>
  <c r="D181" i="3"/>
  <c r="B186" i="4"/>
  <c r="Q183" i="3"/>
  <c r="P188" i="4" s="1"/>
  <c r="P183" i="3"/>
  <c r="O188" i="4" s="1"/>
  <c r="L183" i="3"/>
  <c r="N188" i="4" s="1"/>
  <c r="J183" i="3"/>
  <c r="L188" i="4" s="1"/>
  <c r="I183" i="3"/>
  <c r="K188" i="4" s="1"/>
  <c r="A183" i="3"/>
  <c r="N184" i="3" s="1"/>
  <c r="M183" i="3"/>
  <c r="H188" i="4" s="1"/>
  <c r="B182" i="3"/>
  <c r="C182" i="3" s="1"/>
  <c r="U181" i="3"/>
  <c r="V181" i="3" s="1"/>
  <c r="S181" i="3"/>
  <c r="T181" i="3" s="1"/>
  <c r="A188" i="4" l="1"/>
  <c r="J189" i="4"/>
  <c r="C186" i="4"/>
  <c r="W181" i="3"/>
  <c r="D182" i="3"/>
  <c r="B187" i="4"/>
  <c r="Q184" i="3"/>
  <c r="P189" i="4" s="1"/>
  <c r="P184" i="3"/>
  <c r="O189" i="4" s="1"/>
  <c r="L184" i="3"/>
  <c r="N189" i="4" s="1"/>
  <c r="J184" i="3"/>
  <c r="L189" i="4" s="1"/>
  <c r="I184" i="3"/>
  <c r="K189" i="4" s="1"/>
  <c r="U182" i="3"/>
  <c r="V182" i="3" s="1"/>
  <c r="S182" i="3"/>
  <c r="T182" i="3" s="1"/>
  <c r="A184" i="3"/>
  <c r="N185" i="3" s="1"/>
  <c r="M184" i="3"/>
  <c r="H189" i="4" s="1"/>
  <c r="B183" i="3"/>
  <c r="C183" i="3" s="1"/>
  <c r="A189" i="4" l="1"/>
  <c r="J190" i="4"/>
  <c r="C187" i="4"/>
  <c r="W182" i="3"/>
  <c r="D183" i="3"/>
  <c r="B188" i="4"/>
  <c r="Q185" i="3"/>
  <c r="P190" i="4" s="1"/>
  <c r="P185" i="3"/>
  <c r="O190" i="4" s="1"/>
  <c r="L185" i="3"/>
  <c r="N190" i="4" s="1"/>
  <c r="J185" i="3"/>
  <c r="L190" i="4" s="1"/>
  <c r="I185" i="3"/>
  <c r="K190" i="4" s="1"/>
  <c r="A185" i="3"/>
  <c r="N186" i="3" s="1"/>
  <c r="M185" i="3"/>
  <c r="H190" i="4" s="1"/>
  <c r="B184" i="3"/>
  <c r="C184" i="3" s="1"/>
  <c r="U183" i="3"/>
  <c r="V183" i="3" s="1"/>
  <c r="S183" i="3"/>
  <c r="T183" i="3" s="1"/>
  <c r="A190" i="4" l="1"/>
  <c r="J191" i="4"/>
  <c r="C188" i="4"/>
  <c r="W183" i="3"/>
  <c r="D184" i="3"/>
  <c r="B189" i="4"/>
  <c r="Q186" i="3"/>
  <c r="P191" i="4" s="1"/>
  <c r="P186" i="3"/>
  <c r="O191" i="4" s="1"/>
  <c r="L186" i="3"/>
  <c r="N191" i="4" s="1"/>
  <c r="J186" i="3"/>
  <c r="L191" i="4" s="1"/>
  <c r="I186" i="3"/>
  <c r="K191" i="4" s="1"/>
  <c r="U184" i="3"/>
  <c r="V184" i="3" s="1"/>
  <c r="S184" i="3"/>
  <c r="T184" i="3" s="1"/>
  <c r="A186" i="3"/>
  <c r="N187" i="3" s="1"/>
  <c r="M186" i="3"/>
  <c r="H191" i="4" s="1"/>
  <c r="B185" i="3"/>
  <c r="C185" i="3" s="1"/>
  <c r="A191" i="4" l="1"/>
  <c r="J192" i="4"/>
  <c r="C189" i="4"/>
  <c r="W184" i="3"/>
  <c r="D185" i="3"/>
  <c r="B190" i="4"/>
  <c r="Q187" i="3"/>
  <c r="P192" i="4" s="1"/>
  <c r="P187" i="3"/>
  <c r="O192" i="4" s="1"/>
  <c r="L187" i="3"/>
  <c r="N192" i="4" s="1"/>
  <c r="J187" i="3"/>
  <c r="L192" i="4" s="1"/>
  <c r="I187" i="3"/>
  <c r="K192" i="4" s="1"/>
  <c r="A187" i="3"/>
  <c r="N188" i="3" s="1"/>
  <c r="M187" i="3"/>
  <c r="H192" i="4" s="1"/>
  <c r="B186" i="3"/>
  <c r="C186" i="3" s="1"/>
  <c r="S185" i="3"/>
  <c r="T185" i="3" s="1"/>
  <c r="U185" i="3"/>
  <c r="V185" i="3" s="1"/>
  <c r="A192" i="4" l="1"/>
  <c r="J193" i="4"/>
  <c r="C190" i="4"/>
  <c r="W185" i="3"/>
  <c r="D186" i="3"/>
  <c r="B191" i="4"/>
  <c r="Q188" i="3"/>
  <c r="P193" i="4" s="1"/>
  <c r="P188" i="3"/>
  <c r="O193" i="4" s="1"/>
  <c r="L188" i="3"/>
  <c r="N193" i="4" s="1"/>
  <c r="J188" i="3"/>
  <c r="L193" i="4" s="1"/>
  <c r="I188" i="3"/>
  <c r="K193" i="4" s="1"/>
  <c r="S186" i="3"/>
  <c r="T186" i="3" s="1"/>
  <c r="U186" i="3"/>
  <c r="V186" i="3" s="1"/>
  <c r="A188" i="3"/>
  <c r="N189" i="3" s="1"/>
  <c r="M188" i="3"/>
  <c r="H193" i="4" s="1"/>
  <c r="B187" i="3"/>
  <c r="C187" i="3" s="1"/>
  <c r="A193" i="4" l="1"/>
  <c r="J194" i="4"/>
  <c r="C191" i="4"/>
  <c r="W186" i="3"/>
  <c r="D187" i="3"/>
  <c r="B192" i="4"/>
  <c r="Q189" i="3"/>
  <c r="P194" i="4" s="1"/>
  <c r="P189" i="3"/>
  <c r="O194" i="4" s="1"/>
  <c r="L189" i="3"/>
  <c r="N194" i="4" s="1"/>
  <c r="J189" i="3"/>
  <c r="L194" i="4" s="1"/>
  <c r="I189" i="3"/>
  <c r="K194" i="4" s="1"/>
  <c r="A189" i="3"/>
  <c r="N190" i="3" s="1"/>
  <c r="M189" i="3"/>
  <c r="H194" i="4" s="1"/>
  <c r="B188" i="3"/>
  <c r="C188" i="3" s="1"/>
  <c r="U187" i="3"/>
  <c r="V187" i="3" s="1"/>
  <c r="S187" i="3"/>
  <c r="T187" i="3" s="1"/>
  <c r="A194" i="4" l="1"/>
  <c r="J195" i="4"/>
  <c r="C192" i="4"/>
  <c r="W187" i="3"/>
  <c r="D188" i="3"/>
  <c r="B193" i="4"/>
  <c r="Q190" i="3"/>
  <c r="P195" i="4" s="1"/>
  <c r="P190" i="3"/>
  <c r="O195" i="4" s="1"/>
  <c r="L190" i="3"/>
  <c r="N195" i="4" s="1"/>
  <c r="J190" i="3"/>
  <c r="L195" i="4" s="1"/>
  <c r="I190" i="3"/>
  <c r="K195" i="4" s="1"/>
  <c r="S188" i="3"/>
  <c r="T188" i="3" s="1"/>
  <c r="U188" i="3"/>
  <c r="V188" i="3" s="1"/>
  <c r="A190" i="3"/>
  <c r="N191" i="3" s="1"/>
  <c r="M190" i="3"/>
  <c r="H195" i="4" s="1"/>
  <c r="B189" i="3"/>
  <c r="C189" i="3" s="1"/>
  <c r="A195" i="4" l="1"/>
  <c r="J196" i="4"/>
  <c r="C193" i="4"/>
  <c r="W188" i="3"/>
  <c r="D189" i="3"/>
  <c r="B194" i="4"/>
  <c r="Q191" i="3"/>
  <c r="P196" i="4" s="1"/>
  <c r="P191" i="3"/>
  <c r="O196" i="4" s="1"/>
  <c r="L191" i="3"/>
  <c r="N196" i="4" s="1"/>
  <c r="J191" i="3"/>
  <c r="L196" i="4" s="1"/>
  <c r="I191" i="3"/>
  <c r="K196" i="4" s="1"/>
  <c r="A191" i="3"/>
  <c r="N192" i="3" s="1"/>
  <c r="M191" i="3"/>
  <c r="H196" i="4" s="1"/>
  <c r="B190" i="3"/>
  <c r="C190" i="3" s="1"/>
  <c r="S189" i="3"/>
  <c r="T189" i="3" s="1"/>
  <c r="U189" i="3"/>
  <c r="V189" i="3" s="1"/>
  <c r="A196" i="4" l="1"/>
  <c r="J197" i="4"/>
  <c r="C194" i="4"/>
  <c r="W189" i="3"/>
  <c r="D190" i="3"/>
  <c r="B195" i="4"/>
  <c r="Q192" i="3"/>
  <c r="P197" i="4" s="1"/>
  <c r="P192" i="3"/>
  <c r="O197" i="4" s="1"/>
  <c r="L192" i="3"/>
  <c r="N197" i="4" s="1"/>
  <c r="J192" i="3"/>
  <c r="L197" i="4" s="1"/>
  <c r="I192" i="3"/>
  <c r="K197" i="4" s="1"/>
  <c r="U190" i="3"/>
  <c r="V190" i="3" s="1"/>
  <c r="S190" i="3"/>
  <c r="T190" i="3" s="1"/>
  <c r="A192" i="3"/>
  <c r="N193" i="3" s="1"/>
  <c r="AE16" i="3" s="1"/>
  <c r="M192" i="3"/>
  <c r="H197" i="4" s="1"/>
  <c r="B191" i="3"/>
  <c r="C191" i="3" s="1"/>
  <c r="A197" i="4" l="1"/>
  <c r="J198" i="4"/>
  <c r="C195" i="4"/>
  <c r="W190" i="3"/>
  <c r="D191" i="3"/>
  <c r="B196" i="4"/>
  <c r="Q193" i="3"/>
  <c r="P198" i="4" s="1"/>
  <c r="P193" i="3"/>
  <c r="O198" i="4" s="1"/>
  <c r="L193" i="3"/>
  <c r="N198" i="4" s="1"/>
  <c r="J193" i="3"/>
  <c r="L198" i="4" s="1"/>
  <c r="I193" i="3"/>
  <c r="K198" i="4" s="1"/>
  <c r="A193" i="3"/>
  <c r="N194" i="3" s="1"/>
  <c r="M193" i="3"/>
  <c r="H198" i="4" s="1"/>
  <c r="B192" i="3"/>
  <c r="C192" i="3" s="1"/>
  <c r="S191" i="3"/>
  <c r="T191" i="3" s="1"/>
  <c r="U191" i="3"/>
  <c r="V191" i="3" s="1"/>
  <c r="A198" i="4" l="1"/>
  <c r="J199" i="4"/>
  <c r="C196" i="4"/>
  <c r="W191" i="3"/>
  <c r="D192" i="3"/>
  <c r="B197" i="4"/>
  <c r="Q194" i="3"/>
  <c r="P199" i="4" s="1"/>
  <c r="P194" i="3"/>
  <c r="O199" i="4" s="1"/>
  <c r="L194" i="3"/>
  <c r="N199" i="4" s="1"/>
  <c r="J194" i="3"/>
  <c r="L199" i="4" s="1"/>
  <c r="I194" i="3"/>
  <c r="K199" i="4" s="1"/>
  <c r="U192" i="3"/>
  <c r="V192" i="3" s="1"/>
  <c r="S192" i="3"/>
  <c r="T192" i="3" s="1"/>
  <c r="A194" i="3"/>
  <c r="N195" i="3" s="1"/>
  <c r="M194" i="3"/>
  <c r="H199" i="4" s="1"/>
  <c r="B193" i="3"/>
  <c r="C193" i="3" s="1"/>
  <c r="A199" i="4" l="1"/>
  <c r="J200" i="4"/>
  <c r="C197" i="4"/>
  <c r="W192" i="3"/>
  <c r="D193" i="3"/>
  <c r="B198" i="4"/>
  <c r="Q195" i="3"/>
  <c r="P200" i="4" s="1"/>
  <c r="P195" i="3"/>
  <c r="O200" i="4" s="1"/>
  <c r="L195" i="3"/>
  <c r="N200" i="4" s="1"/>
  <c r="J195" i="3"/>
  <c r="L200" i="4" s="1"/>
  <c r="I195" i="3"/>
  <c r="K200" i="4" s="1"/>
  <c r="A195" i="3"/>
  <c r="N196" i="3" s="1"/>
  <c r="M195" i="3"/>
  <c r="H200" i="4" s="1"/>
  <c r="B194" i="3"/>
  <c r="C194" i="3" s="1"/>
  <c r="S193" i="3"/>
  <c r="T193" i="3" s="1"/>
  <c r="U193" i="3"/>
  <c r="V193" i="3" s="1"/>
  <c r="A200" i="4" l="1"/>
  <c r="J201" i="4"/>
  <c r="C198" i="4"/>
  <c r="W193" i="3"/>
  <c r="D194" i="3"/>
  <c r="B199" i="4"/>
  <c r="Q196" i="3"/>
  <c r="P201" i="4" s="1"/>
  <c r="P196" i="3"/>
  <c r="O201" i="4" s="1"/>
  <c r="L196" i="3"/>
  <c r="N201" i="4" s="1"/>
  <c r="J196" i="3"/>
  <c r="L201" i="4" s="1"/>
  <c r="I196" i="3"/>
  <c r="K201" i="4" s="1"/>
  <c r="S194" i="3"/>
  <c r="T194" i="3" s="1"/>
  <c r="U194" i="3"/>
  <c r="V194" i="3" s="1"/>
  <c r="A196" i="3"/>
  <c r="N197" i="3" s="1"/>
  <c r="M196" i="3"/>
  <c r="H201" i="4" s="1"/>
  <c r="B195" i="3"/>
  <c r="C195" i="3" s="1"/>
  <c r="A201" i="4" l="1"/>
  <c r="J202" i="4"/>
  <c r="C199" i="4"/>
  <c r="W194" i="3"/>
  <c r="D195" i="3"/>
  <c r="B200" i="4"/>
  <c r="Q197" i="3"/>
  <c r="P202" i="4" s="1"/>
  <c r="P197" i="3"/>
  <c r="O202" i="4" s="1"/>
  <c r="L197" i="3"/>
  <c r="N202" i="4" s="1"/>
  <c r="J197" i="3"/>
  <c r="L202" i="4" s="1"/>
  <c r="I197" i="3"/>
  <c r="K202" i="4" s="1"/>
  <c r="A197" i="3"/>
  <c r="N198" i="3" s="1"/>
  <c r="M197" i="3"/>
  <c r="H202" i="4" s="1"/>
  <c r="B196" i="3"/>
  <c r="C196" i="3" s="1"/>
  <c r="S195" i="3"/>
  <c r="T195" i="3" s="1"/>
  <c r="U195" i="3"/>
  <c r="V195" i="3" s="1"/>
  <c r="A202" i="4" l="1"/>
  <c r="J203" i="4"/>
  <c r="C200" i="4"/>
  <c r="W195" i="3"/>
  <c r="D196" i="3"/>
  <c r="B201" i="4"/>
  <c r="Q198" i="3"/>
  <c r="P203" i="4" s="1"/>
  <c r="P198" i="3"/>
  <c r="O203" i="4" s="1"/>
  <c r="L198" i="3"/>
  <c r="N203" i="4" s="1"/>
  <c r="J198" i="3"/>
  <c r="L203" i="4" s="1"/>
  <c r="I198" i="3"/>
  <c r="K203" i="4" s="1"/>
  <c r="U196" i="3"/>
  <c r="V196" i="3" s="1"/>
  <c r="S196" i="3"/>
  <c r="T196" i="3" s="1"/>
  <c r="A198" i="3"/>
  <c r="N199" i="3" s="1"/>
  <c r="M198" i="3"/>
  <c r="H203" i="4" s="1"/>
  <c r="B197" i="3"/>
  <c r="C197" i="3" s="1"/>
  <c r="A203" i="4" l="1"/>
  <c r="J204" i="4"/>
  <c r="C201" i="4"/>
  <c r="W196" i="3"/>
  <c r="D197" i="3"/>
  <c r="B202" i="4"/>
  <c r="Q199" i="3"/>
  <c r="P204" i="4" s="1"/>
  <c r="P199" i="3"/>
  <c r="O204" i="4" s="1"/>
  <c r="L199" i="3"/>
  <c r="N204" i="4" s="1"/>
  <c r="J199" i="3"/>
  <c r="L204" i="4" s="1"/>
  <c r="I199" i="3"/>
  <c r="K204" i="4" s="1"/>
  <c r="A199" i="3"/>
  <c r="N200" i="3" s="1"/>
  <c r="M199" i="3"/>
  <c r="H204" i="4" s="1"/>
  <c r="B198" i="3"/>
  <c r="C198" i="3" s="1"/>
  <c r="U197" i="3"/>
  <c r="V197" i="3" s="1"/>
  <c r="S197" i="3"/>
  <c r="T197" i="3" s="1"/>
  <c r="A204" i="4" l="1"/>
  <c r="J205" i="4"/>
  <c r="C202" i="4"/>
  <c r="W197" i="3"/>
  <c r="D198" i="3"/>
  <c r="B203" i="4"/>
  <c r="Q200" i="3"/>
  <c r="P205" i="4" s="1"/>
  <c r="P200" i="3"/>
  <c r="O205" i="4" s="1"/>
  <c r="L200" i="3"/>
  <c r="N205" i="4" s="1"/>
  <c r="J200" i="3"/>
  <c r="L205" i="4" s="1"/>
  <c r="I200" i="3"/>
  <c r="K205" i="4" s="1"/>
  <c r="S198" i="3"/>
  <c r="T198" i="3" s="1"/>
  <c r="U198" i="3"/>
  <c r="V198" i="3" s="1"/>
  <c r="A200" i="3"/>
  <c r="N201" i="3" s="1"/>
  <c r="M200" i="3"/>
  <c r="H205" i="4" s="1"/>
  <c r="B199" i="3"/>
  <c r="C199" i="3" s="1"/>
  <c r="A205" i="4" l="1"/>
  <c r="J206" i="4"/>
  <c r="C203" i="4"/>
  <c r="W198" i="3"/>
  <c r="D199" i="3"/>
  <c r="B204" i="4"/>
  <c r="Q201" i="3"/>
  <c r="P206" i="4" s="1"/>
  <c r="P201" i="3"/>
  <c r="O206" i="4" s="1"/>
  <c r="L201" i="3"/>
  <c r="N206" i="4" s="1"/>
  <c r="J201" i="3"/>
  <c r="L206" i="4" s="1"/>
  <c r="I201" i="3"/>
  <c r="K206" i="4" s="1"/>
  <c r="A201" i="3"/>
  <c r="N202" i="3" s="1"/>
  <c r="M201" i="3"/>
  <c r="H206" i="4" s="1"/>
  <c r="B200" i="3"/>
  <c r="C200" i="3" s="1"/>
  <c r="S199" i="3"/>
  <c r="T199" i="3" s="1"/>
  <c r="U199" i="3"/>
  <c r="V199" i="3" s="1"/>
  <c r="A206" i="4" l="1"/>
  <c r="J207" i="4"/>
  <c r="C204" i="4"/>
  <c r="W199" i="3"/>
  <c r="D200" i="3"/>
  <c r="B205" i="4"/>
  <c r="Q202" i="3"/>
  <c r="P207" i="4" s="1"/>
  <c r="P202" i="3"/>
  <c r="O207" i="4" s="1"/>
  <c r="L202" i="3"/>
  <c r="N207" i="4" s="1"/>
  <c r="J202" i="3"/>
  <c r="L207" i="4" s="1"/>
  <c r="I202" i="3"/>
  <c r="K207" i="4" s="1"/>
  <c r="U200" i="3"/>
  <c r="V200" i="3" s="1"/>
  <c r="S200" i="3"/>
  <c r="T200" i="3" s="1"/>
  <c r="A202" i="3"/>
  <c r="N203" i="3" s="1"/>
  <c r="M202" i="3"/>
  <c r="H207" i="4" s="1"/>
  <c r="B201" i="3"/>
  <c r="C201" i="3" s="1"/>
  <c r="B206" i="4" s="1"/>
  <c r="A207" i="4" l="1"/>
  <c r="J208" i="4"/>
  <c r="C205" i="4"/>
  <c r="W200" i="3"/>
  <c r="Q203" i="3"/>
  <c r="P208" i="4" s="1"/>
  <c r="P203" i="3"/>
  <c r="O208" i="4" s="1"/>
  <c r="L203" i="3"/>
  <c r="N208" i="4" s="1"/>
  <c r="J203" i="3"/>
  <c r="L208" i="4" s="1"/>
  <c r="I203" i="3"/>
  <c r="K208" i="4" s="1"/>
  <c r="A203" i="3"/>
  <c r="N204" i="3" s="1"/>
  <c r="M203" i="3"/>
  <c r="H208" i="4" s="1"/>
  <c r="B202" i="3"/>
  <c r="C202" i="3" s="1"/>
  <c r="S201" i="3"/>
  <c r="T201" i="3" s="1"/>
  <c r="U201" i="3"/>
  <c r="V201" i="3" s="1"/>
  <c r="D201" i="3"/>
  <c r="A208" i="4" l="1"/>
  <c r="J209" i="4"/>
  <c r="C206" i="4"/>
  <c r="W201" i="3"/>
  <c r="D202" i="3"/>
  <c r="B207" i="4"/>
  <c r="Q204" i="3"/>
  <c r="P209" i="4" s="1"/>
  <c r="P204" i="3"/>
  <c r="O209" i="4" s="1"/>
  <c r="L204" i="3"/>
  <c r="N209" i="4" s="1"/>
  <c r="J204" i="3"/>
  <c r="L209" i="4" s="1"/>
  <c r="I204" i="3"/>
  <c r="K209" i="4" s="1"/>
  <c r="S202" i="3"/>
  <c r="T202" i="3" s="1"/>
  <c r="U202" i="3"/>
  <c r="V202" i="3" s="1"/>
  <c r="A204" i="3"/>
  <c r="N205" i="3" s="1"/>
  <c r="AE17" i="3" s="1"/>
  <c r="M204" i="3"/>
  <c r="H209" i="4" s="1"/>
  <c r="B203" i="3"/>
  <c r="C203" i="3" s="1"/>
  <c r="A209" i="4" l="1"/>
  <c r="J210" i="4"/>
  <c r="C207" i="4"/>
  <c r="W202" i="3"/>
  <c r="D203" i="3"/>
  <c r="B208" i="4"/>
  <c r="Q205" i="3"/>
  <c r="P210" i="4" s="1"/>
  <c r="P205" i="3"/>
  <c r="O210" i="4" s="1"/>
  <c r="L205" i="3"/>
  <c r="N210" i="4" s="1"/>
  <c r="J205" i="3"/>
  <c r="L210" i="4" s="1"/>
  <c r="I205" i="3"/>
  <c r="K210" i="4" s="1"/>
  <c r="A205" i="3"/>
  <c r="N206" i="3" s="1"/>
  <c r="M205" i="3"/>
  <c r="H210" i="4" s="1"/>
  <c r="B204" i="3"/>
  <c r="C204" i="3" s="1"/>
  <c r="U203" i="3"/>
  <c r="V203" i="3" s="1"/>
  <c r="S203" i="3"/>
  <c r="T203" i="3" s="1"/>
  <c r="A210" i="4" l="1"/>
  <c r="J211" i="4"/>
  <c r="C208" i="4"/>
  <c r="W203" i="3"/>
  <c r="D204" i="3"/>
  <c r="B209" i="4"/>
  <c r="Q206" i="3"/>
  <c r="P211" i="4" s="1"/>
  <c r="P206" i="3"/>
  <c r="O211" i="4" s="1"/>
  <c r="L206" i="3"/>
  <c r="N211" i="4" s="1"/>
  <c r="J206" i="3"/>
  <c r="L211" i="4" s="1"/>
  <c r="I206" i="3"/>
  <c r="K211" i="4" s="1"/>
  <c r="S204" i="3"/>
  <c r="T204" i="3" s="1"/>
  <c r="U204" i="3"/>
  <c r="V204" i="3" s="1"/>
  <c r="A206" i="3"/>
  <c r="N207" i="3" s="1"/>
  <c r="M206" i="3"/>
  <c r="H211" i="4" s="1"/>
  <c r="B205" i="3"/>
  <c r="C205" i="3" s="1"/>
  <c r="A211" i="4" l="1"/>
  <c r="J212" i="4"/>
  <c r="C209" i="4"/>
  <c r="W204" i="3"/>
  <c r="D205" i="3"/>
  <c r="B210" i="4"/>
  <c r="Q207" i="3"/>
  <c r="P212" i="4" s="1"/>
  <c r="P207" i="3"/>
  <c r="O212" i="4" s="1"/>
  <c r="L207" i="3"/>
  <c r="N212" i="4" s="1"/>
  <c r="J207" i="3"/>
  <c r="L212" i="4" s="1"/>
  <c r="I207" i="3"/>
  <c r="K212" i="4" s="1"/>
  <c r="A207" i="3"/>
  <c r="N208" i="3" s="1"/>
  <c r="M207" i="3"/>
  <c r="H212" i="4" s="1"/>
  <c r="B206" i="3"/>
  <c r="C206" i="3" s="1"/>
  <c r="S205" i="3"/>
  <c r="T205" i="3" s="1"/>
  <c r="U205" i="3"/>
  <c r="V205" i="3" s="1"/>
  <c r="A212" i="4" l="1"/>
  <c r="J213" i="4"/>
  <c r="C210" i="4"/>
  <c r="W205" i="3"/>
  <c r="D206" i="3"/>
  <c r="B211" i="4"/>
  <c r="Q208" i="3"/>
  <c r="P213" i="4" s="1"/>
  <c r="P208" i="3"/>
  <c r="O213" i="4" s="1"/>
  <c r="L208" i="3"/>
  <c r="N213" i="4" s="1"/>
  <c r="J208" i="3"/>
  <c r="L213" i="4" s="1"/>
  <c r="I208" i="3"/>
  <c r="K213" i="4" s="1"/>
  <c r="S206" i="3"/>
  <c r="T206" i="3" s="1"/>
  <c r="U206" i="3"/>
  <c r="V206" i="3" s="1"/>
  <c r="A208" i="3"/>
  <c r="N209" i="3" s="1"/>
  <c r="M208" i="3"/>
  <c r="H213" i="4" s="1"/>
  <c r="B207" i="3"/>
  <c r="C207" i="3" s="1"/>
  <c r="B212" i="4" s="1"/>
  <c r="A213" i="4" l="1"/>
  <c r="J214" i="4"/>
  <c r="C211" i="4"/>
  <c r="W206" i="3"/>
  <c r="Q209" i="3"/>
  <c r="P214" i="4" s="1"/>
  <c r="P209" i="3"/>
  <c r="O214" i="4" s="1"/>
  <c r="L209" i="3"/>
  <c r="N214" i="4" s="1"/>
  <c r="J209" i="3"/>
  <c r="L214" i="4" s="1"/>
  <c r="I209" i="3"/>
  <c r="K214" i="4" s="1"/>
  <c r="A209" i="3"/>
  <c r="N210" i="3" s="1"/>
  <c r="M209" i="3"/>
  <c r="H214" i="4" s="1"/>
  <c r="B208" i="3"/>
  <c r="C208" i="3" s="1"/>
  <c r="D207" i="3"/>
  <c r="U207" i="3"/>
  <c r="V207" i="3" s="1"/>
  <c r="S207" i="3"/>
  <c r="T207" i="3" s="1"/>
  <c r="A214" i="4" l="1"/>
  <c r="J215" i="4"/>
  <c r="C212" i="4"/>
  <c r="W207" i="3"/>
  <c r="D208" i="3"/>
  <c r="B213" i="4"/>
  <c r="Q210" i="3"/>
  <c r="P215" i="4" s="1"/>
  <c r="P210" i="3"/>
  <c r="O215" i="4" s="1"/>
  <c r="L210" i="3"/>
  <c r="N215" i="4" s="1"/>
  <c r="J210" i="3"/>
  <c r="L215" i="4" s="1"/>
  <c r="I210" i="3"/>
  <c r="K215" i="4" s="1"/>
  <c r="U208" i="3"/>
  <c r="V208" i="3" s="1"/>
  <c r="S208" i="3"/>
  <c r="T208" i="3" s="1"/>
  <c r="A210" i="3"/>
  <c r="N211" i="3" s="1"/>
  <c r="M210" i="3"/>
  <c r="H215" i="4" s="1"/>
  <c r="B209" i="3"/>
  <c r="C209" i="3" s="1"/>
  <c r="A215" i="4" l="1"/>
  <c r="J216" i="4"/>
  <c r="C213" i="4"/>
  <c r="W208" i="3"/>
  <c r="D209" i="3"/>
  <c r="B214" i="4"/>
  <c r="Q211" i="3"/>
  <c r="P216" i="4" s="1"/>
  <c r="P211" i="3"/>
  <c r="O216" i="4" s="1"/>
  <c r="L211" i="3"/>
  <c r="N216" i="4" s="1"/>
  <c r="J211" i="3"/>
  <c r="L216" i="4" s="1"/>
  <c r="I211" i="3"/>
  <c r="K216" i="4" s="1"/>
  <c r="A211" i="3"/>
  <c r="N212" i="3" s="1"/>
  <c r="M211" i="3"/>
  <c r="H216" i="4" s="1"/>
  <c r="B210" i="3"/>
  <c r="C210" i="3" s="1"/>
  <c r="S209" i="3"/>
  <c r="T209" i="3" s="1"/>
  <c r="U209" i="3"/>
  <c r="V209" i="3" s="1"/>
  <c r="A216" i="4" l="1"/>
  <c r="J217" i="4"/>
  <c r="C214" i="4"/>
  <c r="W209" i="3"/>
  <c r="D210" i="3"/>
  <c r="B215" i="4"/>
  <c r="Q212" i="3"/>
  <c r="P217" i="4" s="1"/>
  <c r="P212" i="3"/>
  <c r="O217" i="4" s="1"/>
  <c r="L212" i="3"/>
  <c r="N217" i="4" s="1"/>
  <c r="J212" i="3"/>
  <c r="L217" i="4" s="1"/>
  <c r="I212" i="3"/>
  <c r="K217" i="4" s="1"/>
  <c r="S210" i="3"/>
  <c r="T210" i="3" s="1"/>
  <c r="U210" i="3"/>
  <c r="V210" i="3" s="1"/>
  <c r="A212" i="3"/>
  <c r="N213" i="3" s="1"/>
  <c r="M212" i="3"/>
  <c r="H217" i="4" s="1"/>
  <c r="B211" i="3"/>
  <c r="C211" i="3" s="1"/>
  <c r="A217" i="4" l="1"/>
  <c r="J218" i="4"/>
  <c r="C215" i="4"/>
  <c r="W210" i="3"/>
  <c r="D211" i="3"/>
  <c r="B216" i="4"/>
  <c r="Q213" i="3"/>
  <c r="P218" i="4" s="1"/>
  <c r="P213" i="3"/>
  <c r="O218" i="4" s="1"/>
  <c r="L213" i="3"/>
  <c r="N218" i="4" s="1"/>
  <c r="J213" i="3"/>
  <c r="L218" i="4" s="1"/>
  <c r="I213" i="3"/>
  <c r="K218" i="4" s="1"/>
  <c r="A213" i="3"/>
  <c r="N214" i="3" s="1"/>
  <c r="M213" i="3"/>
  <c r="H218" i="4" s="1"/>
  <c r="B212" i="3"/>
  <c r="C212" i="3" s="1"/>
  <c r="S211" i="3"/>
  <c r="T211" i="3" s="1"/>
  <c r="U211" i="3"/>
  <c r="V211" i="3" s="1"/>
  <c r="A218" i="4" l="1"/>
  <c r="J219" i="4"/>
  <c r="C216" i="4"/>
  <c r="W211" i="3"/>
  <c r="D212" i="3"/>
  <c r="B217" i="4"/>
  <c r="Q214" i="3"/>
  <c r="P219" i="4" s="1"/>
  <c r="P214" i="3"/>
  <c r="O219" i="4" s="1"/>
  <c r="L214" i="3"/>
  <c r="N219" i="4" s="1"/>
  <c r="J214" i="3"/>
  <c r="L219" i="4" s="1"/>
  <c r="I214" i="3"/>
  <c r="K219" i="4" s="1"/>
  <c r="S212" i="3"/>
  <c r="T212" i="3" s="1"/>
  <c r="U212" i="3"/>
  <c r="V212" i="3" s="1"/>
  <c r="A214" i="3"/>
  <c r="N215" i="3" s="1"/>
  <c r="M214" i="3"/>
  <c r="H219" i="4" s="1"/>
  <c r="B213" i="3"/>
  <c r="C213" i="3" s="1"/>
  <c r="A219" i="4" l="1"/>
  <c r="J220" i="4"/>
  <c r="C217" i="4"/>
  <c r="W212" i="3"/>
  <c r="D213" i="3"/>
  <c r="B218" i="4"/>
  <c r="Q215" i="3"/>
  <c r="P220" i="4" s="1"/>
  <c r="P215" i="3"/>
  <c r="O220" i="4" s="1"/>
  <c r="L215" i="3"/>
  <c r="N220" i="4" s="1"/>
  <c r="J215" i="3"/>
  <c r="L220" i="4" s="1"/>
  <c r="I215" i="3"/>
  <c r="K220" i="4" s="1"/>
  <c r="A215" i="3"/>
  <c r="N216" i="3" s="1"/>
  <c r="M215" i="3"/>
  <c r="H220" i="4" s="1"/>
  <c r="B214" i="3"/>
  <c r="C214" i="3" s="1"/>
  <c r="S213" i="3"/>
  <c r="T213" i="3" s="1"/>
  <c r="U213" i="3"/>
  <c r="V213" i="3" s="1"/>
  <c r="A220" i="4" l="1"/>
  <c r="J221" i="4"/>
  <c r="C218" i="4"/>
  <c r="W213" i="3"/>
  <c r="D214" i="3"/>
  <c r="B219" i="4"/>
  <c r="Q216" i="3"/>
  <c r="P221" i="4" s="1"/>
  <c r="P216" i="3"/>
  <c r="O221" i="4" s="1"/>
  <c r="L216" i="3"/>
  <c r="N221" i="4" s="1"/>
  <c r="J216" i="3"/>
  <c r="L221" i="4" s="1"/>
  <c r="I216" i="3"/>
  <c r="K221" i="4" s="1"/>
  <c r="U214" i="3"/>
  <c r="V214" i="3" s="1"/>
  <c r="S214" i="3"/>
  <c r="T214" i="3" s="1"/>
  <c r="A216" i="3"/>
  <c r="N217" i="3" s="1"/>
  <c r="AE18" i="3" s="1"/>
  <c r="M216" i="3"/>
  <c r="H221" i="4" s="1"/>
  <c r="B215" i="3"/>
  <c r="C215" i="3" s="1"/>
  <c r="A221" i="4" l="1"/>
  <c r="J222" i="4"/>
  <c r="C219" i="4"/>
  <c r="W214" i="3"/>
  <c r="D215" i="3"/>
  <c r="B220" i="4"/>
  <c r="Q217" i="3"/>
  <c r="P222" i="4" s="1"/>
  <c r="P217" i="3"/>
  <c r="O222" i="4" s="1"/>
  <c r="L217" i="3"/>
  <c r="N222" i="4" s="1"/>
  <c r="J217" i="3"/>
  <c r="L222" i="4" s="1"/>
  <c r="I217" i="3"/>
  <c r="K222" i="4" s="1"/>
  <c r="A217" i="3"/>
  <c r="N218" i="3" s="1"/>
  <c r="M217" i="3"/>
  <c r="H222" i="4" s="1"/>
  <c r="B216" i="3"/>
  <c r="C216" i="3" s="1"/>
  <c r="U215" i="3"/>
  <c r="V215" i="3" s="1"/>
  <c r="S215" i="3"/>
  <c r="T215" i="3" s="1"/>
  <c r="A222" i="4" l="1"/>
  <c r="J223" i="4"/>
  <c r="C220" i="4"/>
  <c r="W215" i="3"/>
  <c r="D216" i="3"/>
  <c r="B221" i="4"/>
  <c r="Q218" i="3"/>
  <c r="P223" i="4" s="1"/>
  <c r="P218" i="3"/>
  <c r="O223" i="4" s="1"/>
  <c r="L218" i="3"/>
  <c r="N223" i="4" s="1"/>
  <c r="J218" i="3"/>
  <c r="L223" i="4" s="1"/>
  <c r="I218" i="3"/>
  <c r="K223" i="4" s="1"/>
  <c r="U216" i="3"/>
  <c r="V216" i="3" s="1"/>
  <c r="S216" i="3"/>
  <c r="T216" i="3" s="1"/>
  <c r="A218" i="3"/>
  <c r="N219" i="3" s="1"/>
  <c r="M218" i="3"/>
  <c r="H223" i="4" s="1"/>
  <c r="B217" i="3"/>
  <c r="C217" i="3" s="1"/>
  <c r="A223" i="4" l="1"/>
  <c r="J224" i="4"/>
  <c r="C221" i="4"/>
  <c r="W216" i="3"/>
  <c r="D217" i="3"/>
  <c r="B222" i="4"/>
  <c r="Q219" i="3"/>
  <c r="P224" i="4" s="1"/>
  <c r="P219" i="3"/>
  <c r="O224" i="4" s="1"/>
  <c r="L219" i="3"/>
  <c r="N224" i="4" s="1"/>
  <c r="J219" i="3"/>
  <c r="L224" i="4" s="1"/>
  <c r="I219" i="3"/>
  <c r="K224" i="4" s="1"/>
  <c r="A219" i="3"/>
  <c r="N220" i="3" s="1"/>
  <c r="M219" i="3"/>
  <c r="H224" i="4" s="1"/>
  <c r="B218" i="3"/>
  <c r="C218" i="3" s="1"/>
  <c r="U217" i="3"/>
  <c r="V217" i="3" s="1"/>
  <c r="S217" i="3"/>
  <c r="T217" i="3" s="1"/>
  <c r="A224" i="4" l="1"/>
  <c r="J225" i="4"/>
  <c r="C222" i="4"/>
  <c r="W217" i="3"/>
  <c r="D218" i="3"/>
  <c r="B223" i="4"/>
  <c r="Q220" i="3"/>
  <c r="P225" i="4" s="1"/>
  <c r="P220" i="3"/>
  <c r="O225" i="4" s="1"/>
  <c r="L220" i="3"/>
  <c r="N225" i="4" s="1"/>
  <c r="J220" i="3"/>
  <c r="L225" i="4" s="1"/>
  <c r="I220" i="3"/>
  <c r="K225" i="4" s="1"/>
  <c r="S218" i="3"/>
  <c r="T218" i="3" s="1"/>
  <c r="U218" i="3"/>
  <c r="V218" i="3" s="1"/>
  <c r="A220" i="3"/>
  <c r="N221" i="3" s="1"/>
  <c r="M220" i="3"/>
  <c r="H225" i="4" s="1"/>
  <c r="B219" i="3"/>
  <c r="C219" i="3" s="1"/>
  <c r="A225" i="4" l="1"/>
  <c r="J226" i="4"/>
  <c r="C223" i="4"/>
  <c r="W218" i="3"/>
  <c r="D219" i="3"/>
  <c r="B224" i="4"/>
  <c r="Q221" i="3"/>
  <c r="P226" i="4" s="1"/>
  <c r="P221" i="3"/>
  <c r="O226" i="4" s="1"/>
  <c r="L221" i="3"/>
  <c r="N226" i="4" s="1"/>
  <c r="J221" i="3"/>
  <c r="L226" i="4" s="1"/>
  <c r="I221" i="3"/>
  <c r="K226" i="4" s="1"/>
  <c r="A221" i="3"/>
  <c r="N222" i="3" s="1"/>
  <c r="M221" i="3"/>
  <c r="H226" i="4" s="1"/>
  <c r="B220" i="3"/>
  <c r="C220" i="3" s="1"/>
  <c r="U219" i="3"/>
  <c r="V219" i="3" s="1"/>
  <c r="S219" i="3"/>
  <c r="T219" i="3" s="1"/>
  <c r="A226" i="4" l="1"/>
  <c r="J227" i="4"/>
  <c r="C224" i="4"/>
  <c r="W219" i="3"/>
  <c r="D220" i="3"/>
  <c r="B225" i="4"/>
  <c r="Q222" i="3"/>
  <c r="P227" i="4" s="1"/>
  <c r="P222" i="3"/>
  <c r="O227" i="4" s="1"/>
  <c r="L222" i="3"/>
  <c r="N227" i="4" s="1"/>
  <c r="J222" i="3"/>
  <c r="L227" i="4" s="1"/>
  <c r="I222" i="3"/>
  <c r="K227" i="4" s="1"/>
  <c r="U220" i="3"/>
  <c r="V220" i="3" s="1"/>
  <c r="S220" i="3"/>
  <c r="T220" i="3" s="1"/>
  <c r="A222" i="3"/>
  <c r="N223" i="3" s="1"/>
  <c r="M222" i="3"/>
  <c r="H227" i="4" s="1"/>
  <c r="B221" i="3"/>
  <c r="C221" i="3" s="1"/>
  <c r="A227" i="4" l="1"/>
  <c r="J228" i="4"/>
  <c r="C225" i="4"/>
  <c r="W220" i="3"/>
  <c r="D221" i="3"/>
  <c r="B226" i="4"/>
  <c r="Q223" i="3"/>
  <c r="P228" i="4" s="1"/>
  <c r="P223" i="3"/>
  <c r="O228" i="4" s="1"/>
  <c r="L223" i="3"/>
  <c r="N228" i="4" s="1"/>
  <c r="J223" i="3"/>
  <c r="L228" i="4" s="1"/>
  <c r="I223" i="3"/>
  <c r="K228" i="4" s="1"/>
  <c r="A223" i="3"/>
  <c r="N224" i="3" s="1"/>
  <c r="M223" i="3"/>
  <c r="H228" i="4" s="1"/>
  <c r="B222" i="3"/>
  <c r="C222" i="3" s="1"/>
  <c r="S221" i="3"/>
  <c r="T221" i="3" s="1"/>
  <c r="U221" i="3"/>
  <c r="V221" i="3" s="1"/>
  <c r="A228" i="4" l="1"/>
  <c r="J229" i="4"/>
  <c r="C226" i="4"/>
  <c r="W221" i="3"/>
  <c r="D222" i="3"/>
  <c r="B227" i="4"/>
  <c r="Q224" i="3"/>
  <c r="P229" i="4" s="1"/>
  <c r="P224" i="3"/>
  <c r="O229" i="4" s="1"/>
  <c r="L224" i="3"/>
  <c r="N229" i="4" s="1"/>
  <c r="J224" i="3"/>
  <c r="L229" i="4" s="1"/>
  <c r="I224" i="3"/>
  <c r="K229" i="4" s="1"/>
  <c r="S222" i="3"/>
  <c r="T222" i="3" s="1"/>
  <c r="U222" i="3"/>
  <c r="V222" i="3" s="1"/>
  <c r="A224" i="3"/>
  <c r="N225" i="3" s="1"/>
  <c r="M224" i="3"/>
  <c r="H229" i="4" s="1"/>
  <c r="B223" i="3"/>
  <c r="C223" i="3" s="1"/>
  <c r="A229" i="4" l="1"/>
  <c r="J230" i="4"/>
  <c r="C227" i="4"/>
  <c r="W222" i="3"/>
  <c r="D223" i="3"/>
  <c r="B228" i="4"/>
  <c r="Q225" i="3"/>
  <c r="P230" i="4" s="1"/>
  <c r="P225" i="3"/>
  <c r="O230" i="4" s="1"/>
  <c r="L225" i="3"/>
  <c r="N230" i="4" s="1"/>
  <c r="J225" i="3"/>
  <c r="L230" i="4" s="1"/>
  <c r="I225" i="3"/>
  <c r="K230" i="4" s="1"/>
  <c r="A225" i="3"/>
  <c r="N226" i="3" s="1"/>
  <c r="M225" i="3"/>
  <c r="H230" i="4" s="1"/>
  <c r="B224" i="3"/>
  <c r="C224" i="3" s="1"/>
  <c r="U223" i="3"/>
  <c r="V223" i="3" s="1"/>
  <c r="S223" i="3"/>
  <c r="T223" i="3" s="1"/>
  <c r="A230" i="4" l="1"/>
  <c r="J231" i="4"/>
  <c r="C228" i="4"/>
  <c r="W223" i="3"/>
  <c r="D224" i="3"/>
  <c r="B229" i="4"/>
  <c r="Q226" i="3"/>
  <c r="P231" i="4" s="1"/>
  <c r="P226" i="3"/>
  <c r="O231" i="4" s="1"/>
  <c r="L226" i="3"/>
  <c r="N231" i="4" s="1"/>
  <c r="J226" i="3"/>
  <c r="L231" i="4" s="1"/>
  <c r="I226" i="3"/>
  <c r="K231" i="4" s="1"/>
  <c r="S224" i="3"/>
  <c r="T224" i="3" s="1"/>
  <c r="U224" i="3"/>
  <c r="V224" i="3" s="1"/>
  <c r="A226" i="3"/>
  <c r="N227" i="3" s="1"/>
  <c r="M226" i="3"/>
  <c r="H231" i="4" s="1"/>
  <c r="B225" i="3"/>
  <c r="C225" i="3" s="1"/>
  <c r="A231" i="4" l="1"/>
  <c r="J232" i="4"/>
  <c r="C229" i="4"/>
  <c r="W224" i="3"/>
  <c r="D225" i="3"/>
  <c r="B230" i="4"/>
  <c r="Q227" i="3"/>
  <c r="P232" i="4" s="1"/>
  <c r="P227" i="3"/>
  <c r="O232" i="4" s="1"/>
  <c r="L227" i="3"/>
  <c r="N232" i="4" s="1"/>
  <c r="J227" i="3"/>
  <c r="L232" i="4" s="1"/>
  <c r="I227" i="3"/>
  <c r="K232" i="4" s="1"/>
  <c r="A227" i="3"/>
  <c r="N228" i="3" s="1"/>
  <c r="M227" i="3"/>
  <c r="H232" i="4" s="1"/>
  <c r="B226" i="3"/>
  <c r="C226" i="3" s="1"/>
  <c r="S225" i="3"/>
  <c r="T225" i="3" s="1"/>
  <c r="U225" i="3"/>
  <c r="V225" i="3" s="1"/>
  <c r="A232" i="4" l="1"/>
  <c r="J233" i="4"/>
  <c r="C230" i="4"/>
  <c r="W225" i="3"/>
  <c r="D226" i="3"/>
  <c r="B231" i="4"/>
  <c r="Q228" i="3"/>
  <c r="P233" i="4" s="1"/>
  <c r="P228" i="3"/>
  <c r="O233" i="4" s="1"/>
  <c r="L228" i="3"/>
  <c r="N233" i="4" s="1"/>
  <c r="J228" i="3"/>
  <c r="L233" i="4" s="1"/>
  <c r="I228" i="3"/>
  <c r="K233" i="4" s="1"/>
  <c r="U226" i="3"/>
  <c r="V226" i="3" s="1"/>
  <c r="S226" i="3"/>
  <c r="T226" i="3" s="1"/>
  <c r="A228" i="3"/>
  <c r="N229" i="3" s="1"/>
  <c r="AE19" i="3" s="1"/>
  <c r="M228" i="3"/>
  <c r="H233" i="4" s="1"/>
  <c r="B227" i="3"/>
  <c r="C227" i="3" s="1"/>
  <c r="A233" i="4" l="1"/>
  <c r="J234" i="4"/>
  <c r="C231" i="4"/>
  <c r="W226" i="3"/>
  <c r="D227" i="3"/>
  <c r="B232" i="4"/>
  <c r="Q229" i="3"/>
  <c r="P234" i="4" s="1"/>
  <c r="P229" i="3"/>
  <c r="O234" i="4" s="1"/>
  <c r="L229" i="3"/>
  <c r="N234" i="4" s="1"/>
  <c r="J229" i="3"/>
  <c r="L234" i="4" s="1"/>
  <c r="I229" i="3"/>
  <c r="K234" i="4" s="1"/>
  <c r="A229" i="3"/>
  <c r="N230" i="3" s="1"/>
  <c r="M229" i="3"/>
  <c r="H234" i="4" s="1"/>
  <c r="B228" i="3"/>
  <c r="C228" i="3" s="1"/>
  <c r="U227" i="3"/>
  <c r="V227" i="3" s="1"/>
  <c r="S227" i="3"/>
  <c r="T227" i="3" s="1"/>
  <c r="A234" i="4" l="1"/>
  <c r="J235" i="4"/>
  <c r="C232" i="4"/>
  <c r="W227" i="3"/>
  <c r="D228" i="3"/>
  <c r="B233" i="4"/>
  <c r="Q230" i="3"/>
  <c r="P235" i="4" s="1"/>
  <c r="P230" i="3"/>
  <c r="O235" i="4" s="1"/>
  <c r="L230" i="3"/>
  <c r="N235" i="4" s="1"/>
  <c r="J230" i="3"/>
  <c r="L235" i="4" s="1"/>
  <c r="I230" i="3"/>
  <c r="K235" i="4" s="1"/>
  <c r="S228" i="3"/>
  <c r="T228" i="3" s="1"/>
  <c r="U228" i="3"/>
  <c r="V228" i="3" s="1"/>
  <c r="A230" i="3"/>
  <c r="N231" i="3" s="1"/>
  <c r="M230" i="3"/>
  <c r="H235" i="4" s="1"/>
  <c r="B229" i="3"/>
  <c r="C229" i="3" s="1"/>
  <c r="A235" i="4" l="1"/>
  <c r="J236" i="4"/>
  <c r="C233" i="4"/>
  <c r="W228" i="3"/>
  <c r="D229" i="3"/>
  <c r="B234" i="4"/>
  <c r="Q231" i="3"/>
  <c r="P236" i="4" s="1"/>
  <c r="P231" i="3"/>
  <c r="O236" i="4" s="1"/>
  <c r="L231" i="3"/>
  <c r="N236" i="4" s="1"/>
  <c r="J231" i="3"/>
  <c r="L236" i="4" s="1"/>
  <c r="I231" i="3"/>
  <c r="K236" i="4" s="1"/>
  <c r="A231" i="3"/>
  <c r="N232" i="3" s="1"/>
  <c r="M231" i="3"/>
  <c r="H236" i="4" s="1"/>
  <c r="B230" i="3"/>
  <c r="C230" i="3" s="1"/>
  <c r="U229" i="3"/>
  <c r="V229" i="3" s="1"/>
  <c r="S229" i="3"/>
  <c r="T229" i="3" s="1"/>
  <c r="A236" i="4" l="1"/>
  <c r="J237" i="4"/>
  <c r="C234" i="4"/>
  <c r="W229" i="3"/>
  <c r="D230" i="3"/>
  <c r="B235" i="4"/>
  <c r="Q232" i="3"/>
  <c r="P237" i="4" s="1"/>
  <c r="P232" i="3"/>
  <c r="O237" i="4" s="1"/>
  <c r="L232" i="3"/>
  <c r="N237" i="4" s="1"/>
  <c r="J232" i="3"/>
  <c r="L237" i="4" s="1"/>
  <c r="I232" i="3"/>
  <c r="K237" i="4" s="1"/>
  <c r="S230" i="3"/>
  <c r="T230" i="3" s="1"/>
  <c r="U230" i="3"/>
  <c r="V230" i="3" s="1"/>
  <c r="A232" i="3"/>
  <c r="N233" i="3" s="1"/>
  <c r="M232" i="3"/>
  <c r="H237" i="4" s="1"/>
  <c r="B231" i="3"/>
  <c r="C231" i="3" s="1"/>
  <c r="A237" i="4" l="1"/>
  <c r="J238" i="4"/>
  <c r="C235" i="4"/>
  <c r="W230" i="3"/>
  <c r="D231" i="3"/>
  <c r="B236" i="4"/>
  <c r="Q233" i="3"/>
  <c r="P238" i="4" s="1"/>
  <c r="P233" i="3"/>
  <c r="O238" i="4" s="1"/>
  <c r="L233" i="3"/>
  <c r="N238" i="4" s="1"/>
  <c r="J233" i="3"/>
  <c r="L238" i="4" s="1"/>
  <c r="I233" i="3"/>
  <c r="K238" i="4" s="1"/>
  <c r="A233" i="3"/>
  <c r="N234" i="3" s="1"/>
  <c r="M233" i="3"/>
  <c r="H238" i="4" s="1"/>
  <c r="B232" i="3"/>
  <c r="C232" i="3" s="1"/>
  <c r="U231" i="3"/>
  <c r="V231" i="3" s="1"/>
  <c r="S231" i="3"/>
  <c r="T231" i="3" s="1"/>
  <c r="A238" i="4" l="1"/>
  <c r="J239" i="4"/>
  <c r="C236" i="4"/>
  <c r="W231" i="3"/>
  <c r="D232" i="3"/>
  <c r="B237" i="4"/>
  <c r="Q234" i="3"/>
  <c r="P239" i="4" s="1"/>
  <c r="P234" i="3"/>
  <c r="O239" i="4" s="1"/>
  <c r="L234" i="3"/>
  <c r="N239" i="4" s="1"/>
  <c r="J234" i="3"/>
  <c r="L239" i="4" s="1"/>
  <c r="I234" i="3"/>
  <c r="K239" i="4" s="1"/>
  <c r="U232" i="3"/>
  <c r="V232" i="3" s="1"/>
  <c r="S232" i="3"/>
  <c r="T232" i="3" s="1"/>
  <c r="A234" i="3"/>
  <c r="N235" i="3" s="1"/>
  <c r="M234" i="3"/>
  <c r="H239" i="4" s="1"/>
  <c r="B233" i="3"/>
  <c r="C233" i="3" s="1"/>
  <c r="A239" i="4" l="1"/>
  <c r="J240" i="4"/>
  <c r="C237" i="4"/>
  <c r="W232" i="3"/>
  <c r="D233" i="3"/>
  <c r="B238" i="4"/>
  <c r="Q235" i="3"/>
  <c r="P240" i="4" s="1"/>
  <c r="P235" i="3"/>
  <c r="O240" i="4" s="1"/>
  <c r="L235" i="3"/>
  <c r="N240" i="4" s="1"/>
  <c r="J235" i="3"/>
  <c r="L240" i="4" s="1"/>
  <c r="I235" i="3"/>
  <c r="K240" i="4" s="1"/>
  <c r="A235" i="3"/>
  <c r="N236" i="3" s="1"/>
  <c r="M235" i="3"/>
  <c r="H240" i="4" s="1"/>
  <c r="B234" i="3"/>
  <c r="C234" i="3" s="1"/>
  <c r="U233" i="3"/>
  <c r="V233" i="3" s="1"/>
  <c r="S233" i="3"/>
  <c r="T233" i="3" s="1"/>
  <c r="A240" i="4" l="1"/>
  <c r="J241" i="4"/>
  <c r="C238" i="4"/>
  <c r="W233" i="3"/>
  <c r="D234" i="3"/>
  <c r="B239" i="4"/>
  <c r="Q236" i="3"/>
  <c r="P241" i="4" s="1"/>
  <c r="P236" i="3"/>
  <c r="O241" i="4" s="1"/>
  <c r="L236" i="3"/>
  <c r="N241" i="4" s="1"/>
  <c r="J236" i="3"/>
  <c r="L241" i="4" s="1"/>
  <c r="I236" i="3"/>
  <c r="K241" i="4" s="1"/>
  <c r="U234" i="3"/>
  <c r="V234" i="3" s="1"/>
  <c r="S234" i="3"/>
  <c r="T234" i="3" s="1"/>
  <c r="A236" i="3"/>
  <c r="N237" i="3" s="1"/>
  <c r="M236" i="3"/>
  <c r="H241" i="4" s="1"/>
  <c r="B235" i="3"/>
  <c r="C235" i="3" s="1"/>
  <c r="A241" i="4" l="1"/>
  <c r="J242" i="4"/>
  <c r="C239" i="4"/>
  <c r="W234" i="3"/>
  <c r="D235" i="3"/>
  <c r="B240" i="4"/>
  <c r="Q237" i="3"/>
  <c r="P242" i="4" s="1"/>
  <c r="P237" i="3"/>
  <c r="O242" i="4" s="1"/>
  <c r="L237" i="3"/>
  <c r="N242" i="4" s="1"/>
  <c r="J237" i="3"/>
  <c r="L242" i="4" s="1"/>
  <c r="I237" i="3"/>
  <c r="K242" i="4" s="1"/>
  <c r="A237" i="3"/>
  <c r="N238" i="3" s="1"/>
  <c r="M237" i="3"/>
  <c r="H242" i="4" s="1"/>
  <c r="B236" i="3"/>
  <c r="C236" i="3" s="1"/>
  <c r="U235" i="3"/>
  <c r="V235" i="3" s="1"/>
  <c r="S235" i="3"/>
  <c r="T235" i="3" s="1"/>
  <c r="A242" i="4" l="1"/>
  <c r="J243" i="4"/>
  <c r="C240" i="4"/>
  <c r="W235" i="3"/>
  <c r="D236" i="3"/>
  <c r="B241" i="4"/>
  <c r="Q238" i="3"/>
  <c r="P243" i="4" s="1"/>
  <c r="P238" i="3"/>
  <c r="O243" i="4" s="1"/>
  <c r="L238" i="3"/>
  <c r="N243" i="4" s="1"/>
  <c r="J238" i="3"/>
  <c r="L243" i="4" s="1"/>
  <c r="I238" i="3"/>
  <c r="K243" i="4" s="1"/>
  <c r="U236" i="3"/>
  <c r="V236" i="3" s="1"/>
  <c r="S236" i="3"/>
  <c r="T236" i="3" s="1"/>
  <c r="A238" i="3"/>
  <c r="N239" i="3" s="1"/>
  <c r="M238" i="3"/>
  <c r="H243" i="4" s="1"/>
  <c r="B237" i="3"/>
  <c r="C237" i="3" s="1"/>
  <c r="A243" i="4" l="1"/>
  <c r="J244" i="4"/>
  <c r="C241" i="4"/>
  <c r="W236" i="3"/>
  <c r="D237" i="3"/>
  <c r="B242" i="4"/>
  <c r="Q239" i="3"/>
  <c r="P244" i="4" s="1"/>
  <c r="P239" i="3"/>
  <c r="O244" i="4" s="1"/>
  <c r="L239" i="3"/>
  <c r="N244" i="4" s="1"/>
  <c r="J239" i="3"/>
  <c r="L244" i="4" s="1"/>
  <c r="I239" i="3"/>
  <c r="K244" i="4" s="1"/>
  <c r="A239" i="3"/>
  <c r="N240" i="3" s="1"/>
  <c r="M239" i="3"/>
  <c r="H244" i="4" s="1"/>
  <c r="B238" i="3"/>
  <c r="C238" i="3" s="1"/>
  <c r="S237" i="3"/>
  <c r="T237" i="3" s="1"/>
  <c r="U237" i="3"/>
  <c r="V237" i="3" s="1"/>
  <c r="A244" i="4" l="1"/>
  <c r="J245" i="4"/>
  <c r="C242" i="4"/>
  <c r="W237" i="3"/>
  <c r="D238" i="3"/>
  <c r="B243" i="4"/>
  <c r="Q240" i="3"/>
  <c r="P245" i="4" s="1"/>
  <c r="P240" i="3"/>
  <c r="O245" i="4" s="1"/>
  <c r="L240" i="3"/>
  <c r="N245" i="4" s="1"/>
  <c r="J240" i="3"/>
  <c r="L245" i="4" s="1"/>
  <c r="I240" i="3"/>
  <c r="K245" i="4" s="1"/>
  <c r="S238" i="3"/>
  <c r="T238" i="3" s="1"/>
  <c r="U238" i="3"/>
  <c r="V238" i="3" s="1"/>
  <c r="A240" i="3"/>
  <c r="N241" i="3" s="1"/>
  <c r="AE20" i="3" s="1"/>
  <c r="M240" i="3"/>
  <c r="H245" i="4" s="1"/>
  <c r="B239" i="3"/>
  <c r="C239" i="3" s="1"/>
  <c r="A245" i="4" l="1"/>
  <c r="J246" i="4"/>
  <c r="C243" i="4"/>
  <c r="W238" i="3"/>
  <c r="D239" i="3"/>
  <c r="B244" i="4"/>
  <c r="Q241" i="3"/>
  <c r="P246" i="4" s="1"/>
  <c r="P241" i="3"/>
  <c r="O246" i="4" s="1"/>
  <c r="L241" i="3"/>
  <c r="N246" i="4" s="1"/>
  <c r="J241" i="3"/>
  <c r="L246" i="4" s="1"/>
  <c r="I241" i="3"/>
  <c r="K246" i="4" s="1"/>
  <c r="A241" i="3"/>
  <c r="N242" i="3" s="1"/>
  <c r="M241" i="3"/>
  <c r="H246" i="4" s="1"/>
  <c r="B240" i="3"/>
  <c r="C240" i="3" s="1"/>
  <c r="S239" i="3"/>
  <c r="T239" i="3" s="1"/>
  <c r="U239" i="3"/>
  <c r="V239" i="3" s="1"/>
  <c r="A246" i="4" l="1"/>
  <c r="J247" i="4"/>
  <c r="C244" i="4"/>
  <c r="W239" i="3"/>
  <c r="D240" i="3"/>
  <c r="B245" i="4"/>
  <c r="Q242" i="3"/>
  <c r="P247" i="4" s="1"/>
  <c r="P242" i="3"/>
  <c r="O247" i="4" s="1"/>
  <c r="L242" i="3"/>
  <c r="N247" i="4" s="1"/>
  <c r="J242" i="3"/>
  <c r="L247" i="4" s="1"/>
  <c r="I242" i="3"/>
  <c r="K247" i="4" s="1"/>
  <c r="S240" i="3"/>
  <c r="T240" i="3" s="1"/>
  <c r="U240" i="3"/>
  <c r="V240" i="3" s="1"/>
  <c r="A242" i="3"/>
  <c r="N243" i="3" s="1"/>
  <c r="M242" i="3"/>
  <c r="H247" i="4" s="1"/>
  <c r="B241" i="3"/>
  <c r="C241" i="3" s="1"/>
  <c r="A247" i="4" l="1"/>
  <c r="J248" i="4"/>
  <c r="C245" i="4"/>
  <c r="W240" i="3"/>
  <c r="D241" i="3"/>
  <c r="B246" i="4"/>
  <c r="Q243" i="3"/>
  <c r="P248" i="4" s="1"/>
  <c r="P243" i="3"/>
  <c r="O248" i="4" s="1"/>
  <c r="L243" i="3"/>
  <c r="N248" i="4" s="1"/>
  <c r="J243" i="3"/>
  <c r="L248" i="4" s="1"/>
  <c r="I243" i="3"/>
  <c r="K248" i="4" s="1"/>
  <c r="A243" i="3"/>
  <c r="N244" i="3" s="1"/>
  <c r="M243" i="3"/>
  <c r="H248" i="4" s="1"/>
  <c r="B242" i="3"/>
  <c r="C242" i="3" s="1"/>
  <c r="S241" i="3"/>
  <c r="T241" i="3" s="1"/>
  <c r="U241" i="3"/>
  <c r="V241" i="3" s="1"/>
  <c r="A248" i="4" l="1"/>
  <c r="J249" i="4"/>
  <c r="C246" i="4"/>
  <c r="W241" i="3"/>
  <c r="D242" i="3"/>
  <c r="B247" i="4"/>
  <c r="Q244" i="3"/>
  <c r="P249" i="4" s="1"/>
  <c r="P244" i="3"/>
  <c r="O249" i="4" s="1"/>
  <c r="L244" i="3"/>
  <c r="N249" i="4" s="1"/>
  <c r="J244" i="3"/>
  <c r="L249" i="4" s="1"/>
  <c r="I244" i="3"/>
  <c r="K249" i="4" s="1"/>
  <c r="U242" i="3"/>
  <c r="V242" i="3" s="1"/>
  <c r="S242" i="3"/>
  <c r="T242" i="3" s="1"/>
  <c r="A244" i="3"/>
  <c r="N245" i="3" s="1"/>
  <c r="M244" i="3"/>
  <c r="H249" i="4" s="1"/>
  <c r="B243" i="3"/>
  <c r="C243" i="3" s="1"/>
  <c r="A249" i="4" l="1"/>
  <c r="J250" i="4"/>
  <c r="C247" i="4"/>
  <c r="W242" i="3"/>
  <c r="D243" i="3"/>
  <c r="B248" i="4"/>
  <c r="Q245" i="3"/>
  <c r="P250" i="4" s="1"/>
  <c r="P245" i="3"/>
  <c r="O250" i="4" s="1"/>
  <c r="L245" i="3"/>
  <c r="N250" i="4" s="1"/>
  <c r="J245" i="3"/>
  <c r="L250" i="4" s="1"/>
  <c r="I245" i="3"/>
  <c r="K250" i="4" s="1"/>
  <c r="A245" i="3"/>
  <c r="N246" i="3" s="1"/>
  <c r="M245" i="3"/>
  <c r="H250" i="4" s="1"/>
  <c r="B244" i="3"/>
  <c r="C244" i="3" s="1"/>
  <c r="S243" i="3"/>
  <c r="T243" i="3" s="1"/>
  <c r="U243" i="3"/>
  <c r="V243" i="3" s="1"/>
  <c r="A250" i="4" l="1"/>
  <c r="J251" i="4"/>
  <c r="C248" i="4"/>
  <c r="W243" i="3"/>
  <c r="D244" i="3"/>
  <c r="B249" i="4"/>
  <c r="Q246" i="3"/>
  <c r="P251" i="4" s="1"/>
  <c r="P246" i="3"/>
  <c r="O251" i="4" s="1"/>
  <c r="L246" i="3"/>
  <c r="N251" i="4" s="1"/>
  <c r="J246" i="3"/>
  <c r="L251" i="4" s="1"/>
  <c r="I246" i="3"/>
  <c r="K251" i="4" s="1"/>
  <c r="S244" i="3"/>
  <c r="T244" i="3" s="1"/>
  <c r="U244" i="3"/>
  <c r="V244" i="3" s="1"/>
  <c r="A246" i="3"/>
  <c r="N247" i="3" s="1"/>
  <c r="M246" i="3"/>
  <c r="H251" i="4" s="1"/>
  <c r="B245" i="3"/>
  <c r="C245" i="3" s="1"/>
  <c r="A251" i="4" l="1"/>
  <c r="J252" i="4"/>
  <c r="C249" i="4"/>
  <c r="W244" i="3"/>
  <c r="D245" i="3"/>
  <c r="B250" i="4"/>
  <c r="Q247" i="3"/>
  <c r="P252" i="4" s="1"/>
  <c r="P247" i="3"/>
  <c r="O252" i="4" s="1"/>
  <c r="L247" i="3"/>
  <c r="N252" i="4" s="1"/>
  <c r="J247" i="3"/>
  <c r="L252" i="4" s="1"/>
  <c r="I247" i="3"/>
  <c r="K252" i="4" s="1"/>
  <c r="A247" i="3"/>
  <c r="N248" i="3" s="1"/>
  <c r="M247" i="3"/>
  <c r="H252" i="4" s="1"/>
  <c r="B246" i="3"/>
  <c r="C246" i="3" s="1"/>
  <c r="U245" i="3"/>
  <c r="V245" i="3" s="1"/>
  <c r="S245" i="3"/>
  <c r="T245" i="3" s="1"/>
  <c r="A252" i="4" l="1"/>
  <c r="J253" i="4"/>
  <c r="C250" i="4"/>
  <c r="W245" i="3"/>
  <c r="D246" i="3"/>
  <c r="B251" i="4"/>
  <c r="Q248" i="3"/>
  <c r="P253" i="4" s="1"/>
  <c r="P248" i="3"/>
  <c r="O253" i="4" s="1"/>
  <c r="L248" i="3"/>
  <c r="N253" i="4" s="1"/>
  <c r="J248" i="3"/>
  <c r="L253" i="4" s="1"/>
  <c r="I248" i="3"/>
  <c r="K253" i="4" s="1"/>
  <c r="U246" i="3"/>
  <c r="V246" i="3" s="1"/>
  <c r="S246" i="3"/>
  <c r="T246" i="3" s="1"/>
  <c r="A248" i="3"/>
  <c r="N249" i="3" s="1"/>
  <c r="M248" i="3"/>
  <c r="H253" i="4" s="1"/>
  <c r="B247" i="3"/>
  <c r="C247" i="3" s="1"/>
  <c r="A253" i="4" l="1"/>
  <c r="J254" i="4"/>
  <c r="C251" i="4"/>
  <c r="W246" i="3"/>
  <c r="D247" i="3"/>
  <c r="B252" i="4"/>
  <c r="Q249" i="3"/>
  <c r="P254" i="4" s="1"/>
  <c r="P249" i="3"/>
  <c r="O254" i="4" s="1"/>
  <c r="L249" i="3"/>
  <c r="N254" i="4" s="1"/>
  <c r="J249" i="3"/>
  <c r="L254" i="4" s="1"/>
  <c r="I249" i="3"/>
  <c r="K254" i="4" s="1"/>
  <c r="A249" i="3"/>
  <c r="N250" i="3" s="1"/>
  <c r="M249" i="3"/>
  <c r="H254" i="4" s="1"/>
  <c r="B248" i="3"/>
  <c r="C248" i="3" s="1"/>
  <c r="S247" i="3"/>
  <c r="T247" i="3" s="1"/>
  <c r="U247" i="3"/>
  <c r="V247" i="3" s="1"/>
  <c r="A254" i="4" l="1"/>
  <c r="J255" i="4"/>
  <c r="C252" i="4"/>
  <c r="W247" i="3"/>
  <c r="D248" i="3"/>
  <c r="B253" i="4"/>
  <c r="Q250" i="3"/>
  <c r="P255" i="4" s="1"/>
  <c r="P250" i="3"/>
  <c r="O255" i="4" s="1"/>
  <c r="L250" i="3"/>
  <c r="N255" i="4" s="1"/>
  <c r="J250" i="3"/>
  <c r="L255" i="4" s="1"/>
  <c r="I250" i="3"/>
  <c r="K255" i="4" s="1"/>
  <c r="U248" i="3"/>
  <c r="V248" i="3" s="1"/>
  <c r="S248" i="3"/>
  <c r="T248" i="3" s="1"/>
  <c r="A250" i="3"/>
  <c r="N251" i="3" s="1"/>
  <c r="M250" i="3"/>
  <c r="H255" i="4" s="1"/>
  <c r="B249" i="3"/>
  <c r="C249" i="3" s="1"/>
  <c r="A255" i="4" l="1"/>
  <c r="J256" i="4"/>
  <c r="C253" i="4"/>
  <c r="W248" i="3"/>
  <c r="D249" i="3"/>
  <c r="B254" i="4"/>
  <c r="Q251" i="3"/>
  <c r="P256" i="4" s="1"/>
  <c r="P251" i="3"/>
  <c r="O256" i="4" s="1"/>
  <c r="L251" i="3"/>
  <c r="N256" i="4" s="1"/>
  <c r="J251" i="3"/>
  <c r="L256" i="4" s="1"/>
  <c r="I251" i="3"/>
  <c r="K256" i="4" s="1"/>
  <c r="A251" i="3"/>
  <c r="N252" i="3" s="1"/>
  <c r="M251" i="3"/>
  <c r="H256" i="4" s="1"/>
  <c r="B250" i="3"/>
  <c r="C250" i="3" s="1"/>
  <c r="S249" i="3"/>
  <c r="T249" i="3" s="1"/>
  <c r="U249" i="3"/>
  <c r="V249" i="3" s="1"/>
  <c r="A256" i="4" l="1"/>
  <c r="J257" i="4"/>
  <c r="C254" i="4"/>
  <c r="W249" i="3"/>
  <c r="D250" i="3"/>
  <c r="B255" i="4"/>
  <c r="Q252" i="3"/>
  <c r="P257" i="4" s="1"/>
  <c r="P252" i="3"/>
  <c r="O257" i="4" s="1"/>
  <c r="L252" i="3"/>
  <c r="N257" i="4" s="1"/>
  <c r="J252" i="3"/>
  <c r="L257" i="4" s="1"/>
  <c r="I252" i="3"/>
  <c r="K257" i="4" s="1"/>
  <c r="S250" i="3"/>
  <c r="T250" i="3" s="1"/>
  <c r="U250" i="3"/>
  <c r="V250" i="3" s="1"/>
  <c r="A252" i="3"/>
  <c r="N253" i="3" s="1"/>
  <c r="AE21" i="3" s="1"/>
  <c r="AE22" i="3" s="1"/>
  <c r="N15" i="3" s="1"/>
  <c r="M252" i="3"/>
  <c r="H257" i="4" s="1"/>
  <c r="B251" i="3"/>
  <c r="C251" i="3" s="1"/>
  <c r="A257" i="4" l="1"/>
  <c r="J258" i="4"/>
  <c r="C255" i="4"/>
  <c r="W250" i="3"/>
  <c r="D251" i="3"/>
  <c r="B256" i="4"/>
  <c r="Q253" i="3"/>
  <c r="P258" i="4" s="1"/>
  <c r="P253" i="3"/>
  <c r="O258" i="4" s="1"/>
  <c r="L253" i="3"/>
  <c r="N258" i="4" s="1"/>
  <c r="J253" i="3"/>
  <c r="L258" i="4" s="1"/>
  <c r="I253" i="3"/>
  <c r="K258" i="4" s="1"/>
  <c r="A253" i="3"/>
  <c r="N254" i="3" s="1"/>
  <c r="M253" i="3"/>
  <c r="H258" i="4" s="1"/>
  <c r="B252" i="3"/>
  <c r="C252" i="3" s="1"/>
  <c r="S251" i="3"/>
  <c r="T251" i="3" s="1"/>
  <c r="U251" i="3"/>
  <c r="V251" i="3" s="1"/>
  <c r="A258" i="4" l="1"/>
  <c r="J259" i="4"/>
  <c r="C256" i="4"/>
  <c r="W251" i="3"/>
  <c r="D252" i="3"/>
  <c r="B257" i="4"/>
  <c r="K254" i="3"/>
  <c r="M259" i="4" s="1"/>
  <c r="Q254" i="3"/>
  <c r="P259" i="4" s="1"/>
  <c r="P254" i="3"/>
  <c r="O259" i="4" s="1"/>
  <c r="L254" i="3"/>
  <c r="N259" i="4" s="1"/>
  <c r="J254" i="3"/>
  <c r="L259" i="4" s="1"/>
  <c r="I254" i="3"/>
  <c r="K259" i="4" s="1"/>
  <c r="S252" i="3"/>
  <c r="T252" i="3" s="1"/>
  <c r="U252" i="3"/>
  <c r="V252" i="3" s="1"/>
  <c r="A254" i="3"/>
  <c r="N255" i="3" s="1"/>
  <c r="M254" i="3"/>
  <c r="H259" i="4" s="1"/>
  <c r="B253" i="3"/>
  <c r="C253" i="3" s="1"/>
  <c r="A259" i="4" l="1"/>
  <c r="J260" i="4"/>
  <c r="C257" i="4"/>
  <c r="W252" i="3"/>
  <c r="D253" i="3"/>
  <c r="B258" i="4"/>
  <c r="K255" i="3"/>
  <c r="M260" i="4" s="1"/>
  <c r="Q255" i="3"/>
  <c r="P260" i="4" s="1"/>
  <c r="P255" i="3"/>
  <c r="O260" i="4" s="1"/>
  <c r="L255" i="3"/>
  <c r="N260" i="4" s="1"/>
  <c r="J255" i="3"/>
  <c r="L260" i="4" s="1"/>
  <c r="I255" i="3"/>
  <c r="K260" i="4" s="1"/>
  <c r="A255" i="3"/>
  <c r="N256" i="3" s="1"/>
  <c r="M255" i="3"/>
  <c r="H260" i="4" s="1"/>
  <c r="B254" i="3"/>
  <c r="C254" i="3" s="1"/>
  <c r="S253" i="3"/>
  <c r="T253" i="3" s="1"/>
  <c r="U253" i="3"/>
  <c r="V253" i="3" s="1"/>
  <c r="A260" i="4" l="1"/>
  <c r="J261" i="4"/>
  <c r="C258" i="4"/>
  <c r="W253" i="3"/>
  <c r="D254" i="3"/>
  <c r="B259" i="4"/>
  <c r="K256" i="3"/>
  <c r="M261" i="4" s="1"/>
  <c r="Q256" i="3"/>
  <c r="P261" i="4" s="1"/>
  <c r="P256" i="3"/>
  <c r="O261" i="4" s="1"/>
  <c r="L256" i="3"/>
  <c r="N261" i="4" s="1"/>
  <c r="J256" i="3"/>
  <c r="L261" i="4" s="1"/>
  <c r="I256" i="3"/>
  <c r="K261" i="4" s="1"/>
  <c r="S254" i="3"/>
  <c r="T254" i="3" s="1"/>
  <c r="U254" i="3"/>
  <c r="V254" i="3" s="1"/>
  <c r="A256" i="3"/>
  <c r="N257" i="3" s="1"/>
  <c r="M256" i="3"/>
  <c r="H261" i="4" s="1"/>
  <c r="B255" i="3"/>
  <c r="C255" i="3" s="1"/>
  <c r="A261" i="4" l="1"/>
  <c r="J262" i="4"/>
  <c r="C259" i="4"/>
  <c r="W254" i="3"/>
  <c r="D255" i="3"/>
  <c r="B260" i="4"/>
  <c r="K257" i="3"/>
  <c r="M262" i="4" s="1"/>
  <c r="Q257" i="3"/>
  <c r="P262" i="4" s="1"/>
  <c r="P257" i="3"/>
  <c r="O262" i="4" s="1"/>
  <c r="L257" i="3"/>
  <c r="N262" i="4" s="1"/>
  <c r="J257" i="3"/>
  <c r="L262" i="4" s="1"/>
  <c r="I257" i="3"/>
  <c r="K262" i="4" s="1"/>
  <c r="A257" i="3"/>
  <c r="N258" i="3" s="1"/>
  <c r="M257" i="3"/>
  <c r="H262" i="4" s="1"/>
  <c r="B256" i="3"/>
  <c r="C256" i="3" s="1"/>
  <c r="U255" i="3"/>
  <c r="V255" i="3" s="1"/>
  <c r="S255" i="3"/>
  <c r="T255" i="3" s="1"/>
  <c r="A262" i="4" l="1"/>
  <c r="J263" i="4"/>
  <c r="C260" i="4"/>
  <c r="W255" i="3"/>
  <c r="D256" i="3"/>
  <c r="B261" i="4"/>
  <c r="K258" i="3"/>
  <c r="M263" i="4" s="1"/>
  <c r="Q258" i="3"/>
  <c r="P263" i="4" s="1"/>
  <c r="P258" i="3"/>
  <c r="O263" i="4" s="1"/>
  <c r="L258" i="3"/>
  <c r="N263" i="4" s="1"/>
  <c r="J258" i="3"/>
  <c r="L263" i="4" s="1"/>
  <c r="I258" i="3"/>
  <c r="K263" i="4" s="1"/>
  <c r="S256" i="3"/>
  <c r="T256" i="3" s="1"/>
  <c r="U256" i="3"/>
  <c r="V256" i="3" s="1"/>
  <c r="A258" i="3"/>
  <c r="N259" i="3" s="1"/>
  <c r="M258" i="3"/>
  <c r="H263" i="4" s="1"/>
  <c r="B257" i="3"/>
  <c r="C257" i="3" s="1"/>
  <c r="A263" i="4" l="1"/>
  <c r="J264" i="4"/>
  <c r="C261" i="4"/>
  <c r="W256" i="3"/>
  <c r="D257" i="3"/>
  <c r="B262" i="4"/>
  <c r="K259" i="3"/>
  <c r="M264" i="4" s="1"/>
  <c r="Q259" i="3"/>
  <c r="P264" i="4" s="1"/>
  <c r="P259" i="3"/>
  <c r="O264" i="4" s="1"/>
  <c r="L259" i="3"/>
  <c r="N264" i="4" s="1"/>
  <c r="J259" i="3"/>
  <c r="L264" i="4" s="1"/>
  <c r="I259" i="3"/>
  <c r="K264" i="4" s="1"/>
  <c r="A259" i="3"/>
  <c r="N260" i="3" s="1"/>
  <c r="M259" i="3"/>
  <c r="H264" i="4" s="1"/>
  <c r="B258" i="3"/>
  <c r="C258" i="3" s="1"/>
  <c r="S257" i="3"/>
  <c r="T257" i="3" s="1"/>
  <c r="U257" i="3"/>
  <c r="V257" i="3" s="1"/>
  <c r="A264" i="4" l="1"/>
  <c r="J265" i="4"/>
  <c r="C262" i="4"/>
  <c r="W257" i="3"/>
  <c r="D258" i="3"/>
  <c r="B263" i="4"/>
  <c r="K260" i="3"/>
  <c r="M265" i="4" s="1"/>
  <c r="Q260" i="3"/>
  <c r="P265" i="4" s="1"/>
  <c r="P260" i="3"/>
  <c r="O265" i="4" s="1"/>
  <c r="L260" i="3"/>
  <c r="N265" i="4" s="1"/>
  <c r="J260" i="3"/>
  <c r="L265" i="4" s="1"/>
  <c r="I260" i="3"/>
  <c r="K265" i="4" s="1"/>
  <c r="S258" i="3"/>
  <c r="T258" i="3" s="1"/>
  <c r="U258" i="3"/>
  <c r="V258" i="3" s="1"/>
  <c r="A260" i="3"/>
  <c r="N261" i="3" s="1"/>
  <c r="M260" i="3"/>
  <c r="H265" i="4" s="1"/>
  <c r="B259" i="3"/>
  <c r="C259" i="3" s="1"/>
  <c r="A265" i="4" l="1"/>
  <c r="J266" i="4"/>
  <c r="C263" i="4"/>
  <c r="W258" i="3"/>
  <c r="D259" i="3"/>
  <c r="B264" i="4"/>
  <c r="K261" i="3"/>
  <c r="M266" i="4" s="1"/>
  <c r="Q261" i="3"/>
  <c r="P266" i="4" s="1"/>
  <c r="P261" i="3"/>
  <c r="O266" i="4" s="1"/>
  <c r="L261" i="3"/>
  <c r="N266" i="4" s="1"/>
  <c r="J261" i="3"/>
  <c r="L266" i="4" s="1"/>
  <c r="I261" i="3"/>
  <c r="K266" i="4" s="1"/>
  <c r="A261" i="3"/>
  <c r="N262" i="3" s="1"/>
  <c r="M261" i="3"/>
  <c r="H266" i="4" s="1"/>
  <c r="B260" i="3"/>
  <c r="C260" i="3" s="1"/>
  <c r="U259" i="3"/>
  <c r="V259" i="3" s="1"/>
  <c r="S259" i="3"/>
  <c r="T259" i="3" s="1"/>
  <c r="P49" i="3" l="1"/>
  <c r="O54" i="4" s="1"/>
  <c r="P37" i="3"/>
  <c r="A266" i="4"/>
  <c r="J267" i="4"/>
  <c r="C264" i="4"/>
  <c r="W259" i="3"/>
  <c r="D260" i="3"/>
  <c r="B265" i="4"/>
  <c r="K262" i="3"/>
  <c r="M267" i="4" s="1"/>
  <c r="Q262" i="3"/>
  <c r="P267" i="4" s="1"/>
  <c r="P262" i="3"/>
  <c r="O267" i="4" s="1"/>
  <c r="L262" i="3"/>
  <c r="N267" i="4" s="1"/>
  <c r="J262" i="3"/>
  <c r="L267" i="4" s="1"/>
  <c r="I262" i="3"/>
  <c r="K267" i="4" s="1"/>
  <c r="S260" i="3"/>
  <c r="T260" i="3" s="1"/>
  <c r="U260" i="3"/>
  <c r="V260" i="3" s="1"/>
  <c r="A262" i="3"/>
  <c r="N263" i="3" s="1"/>
  <c r="M262" i="3"/>
  <c r="H267" i="4" s="1"/>
  <c r="B261" i="3"/>
  <c r="C261" i="3" s="1"/>
  <c r="O42" i="4" l="1"/>
  <c r="A267" i="4"/>
  <c r="J268" i="4"/>
  <c r="C265" i="4"/>
  <c r="W260" i="3"/>
  <c r="D261" i="3"/>
  <c r="B266" i="4"/>
  <c r="K263" i="3"/>
  <c r="M268" i="4" s="1"/>
  <c r="Q263" i="3"/>
  <c r="P268" i="4" s="1"/>
  <c r="P263" i="3"/>
  <c r="O268" i="4" s="1"/>
  <c r="L263" i="3"/>
  <c r="N268" i="4" s="1"/>
  <c r="J263" i="3"/>
  <c r="L268" i="4" s="1"/>
  <c r="I263" i="3"/>
  <c r="K268" i="4" s="1"/>
  <c r="A263" i="3"/>
  <c r="N264" i="3" s="1"/>
  <c r="M263" i="3"/>
  <c r="H268" i="4" s="1"/>
  <c r="B262" i="3"/>
  <c r="C262" i="3" s="1"/>
  <c r="U261" i="3"/>
  <c r="V261" i="3" s="1"/>
  <c r="S261" i="3"/>
  <c r="T261" i="3" s="1"/>
  <c r="A268" i="4" l="1"/>
  <c r="J269" i="4"/>
  <c r="C266" i="4"/>
  <c r="W261" i="3"/>
  <c r="D262" i="3"/>
  <c r="B267" i="4"/>
  <c r="K264" i="3"/>
  <c r="M269" i="4" s="1"/>
  <c r="Q264" i="3"/>
  <c r="P269" i="4" s="1"/>
  <c r="P264" i="3"/>
  <c r="O269" i="4" s="1"/>
  <c r="L264" i="3"/>
  <c r="N269" i="4" s="1"/>
  <c r="J264" i="3"/>
  <c r="L269" i="4" s="1"/>
  <c r="I264" i="3"/>
  <c r="K269" i="4" s="1"/>
  <c r="S262" i="3"/>
  <c r="T262" i="3" s="1"/>
  <c r="U262" i="3"/>
  <c r="V262" i="3" s="1"/>
  <c r="A264" i="3"/>
  <c r="N265" i="3" s="1"/>
  <c r="M264" i="3"/>
  <c r="H269" i="4" s="1"/>
  <c r="B263" i="3"/>
  <c r="C263" i="3" s="1"/>
  <c r="A269" i="4" l="1"/>
  <c r="J270" i="4"/>
  <c r="C267" i="4"/>
  <c r="W262" i="3"/>
  <c r="D263" i="3"/>
  <c r="B268" i="4"/>
  <c r="I265" i="3"/>
  <c r="K270" i="4" s="1"/>
  <c r="J265" i="3"/>
  <c r="L270" i="4" s="1"/>
  <c r="L265" i="3"/>
  <c r="N270" i="4" s="1"/>
  <c r="A265" i="3"/>
  <c r="A270" i="4" s="1"/>
  <c r="B264" i="3"/>
  <c r="C264" i="3" s="1"/>
  <c r="B269" i="4" s="1"/>
  <c r="U263" i="3"/>
  <c r="V263" i="3" s="1"/>
  <c r="S263" i="3"/>
  <c r="T263" i="3" s="1"/>
  <c r="C268" i="4" l="1"/>
  <c r="W263" i="3"/>
  <c r="D264" i="3"/>
  <c r="S264" i="3"/>
  <c r="T264" i="3" s="1"/>
  <c r="U264" i="3"/>
  <c r="V264" i="3" s="1"/>
  <c r="A266" i="3"/>
  <c r="E265" i="3"/>
  <c r="D270" i="4" s="1"/>
  <c r="C269" i="4" l="1"/>
  <c r="W264" i="3"/>
  <c r="A267" i="3"/>
  <c r="A268" i="3" s="1"/>
  <c r="A269" i="3" s="1"/>
  <c r="A270" i="3" l="1"/>
  <c r="A271" i="3" s="1"/>
  <c r="A272" i="3" s="1"/>
  <c r="A273" i="3" s="1"/>
  <c r="A274" i="3" s="1"/>
  <c r="A275" i="3" s="1"/>
  <c r="A276" i="3" s="1"/>
  <c r="P61" i="3" l="1"/>
  <c r="O66" i="4" s="1"/>
  <c r="P109" i="3"/>
  <c r="O114" i="4" s="1"/>
  <c r="E5" i="4"/>
  <c r="D5" i="3"/>
  <c r="F6" i="3"/>
  <c r="B18" i="1" s="1"/>
  <c r="F7" i="3"/>
  <c r="N4" i="3" s="1"/>
  <c r="P4" i="3" s="1"/>
  <c r="E6" i="4" l="1"/>
  <c r="B12" i="1"/>
  <c r="M24" i="3"/>
  <c r="M85" i="3" s="1"/>
  <c r="H90" i="4" s="1"/>
  <c r="D7" i="3"/>
  <c r="E24" i="3" s="1"/>
  <c r="O10" i="3"/>
  <c r="E7" i="4"/>
  <c r="D6" i="3"/>
  <c r="F239" i="3" l="1"/>
  <c r="F235" i="3"/>
  <c r="F262" i="3"/>
  <c r="F261" i="3"/>
  <c r="F253" i="3"/>
  <c r="F251" i="3"/>
  <c r="F245" i="3"/>
  <c r="F240" i="3"/>
  <c r="F238" i="3"/>
  <c r="F237" i="3"/>
  <c r="F256" i="3"/>
  <c r="F244" i="3"/>
  <c r="G25" i="3"/>
  <c r="F263" i="3"/>
  <c r="F37" i="3"/>
  <c r="F241" i="3"/>
  <c r="F234" i="3"/>
  <c r="F236" i="3"/>
  <c r="F255" i="3"/>
  <c r="F61" i="3"/>
  <c r="F49" i="3"/>
  <c r="F249" i="3"/>
  <c r="F246" i="3"/>
  <c r="F259" i="3"/>
  <c r="D29" i="4"/>
  <c r="F257" i="3"/>
  <c r="F247" i="3"/>
  <c r="F243" i="3"/>
  <c r="F260" i="3"/>
  <c r="F254" i="3"/>
  <c r="F250" i="3"/>
  <c r="F242" i="3"/>
  <c r="F233" i="3"/>
  <c r="F226" i="3"/>
  <c r="F215" i="3"/>
  <c r="F210" i="3"/>
  <c r="F214" i="3"/>
  <c r="F206" i="3"/>
  <c r="F188" i="3"/>
  <c r="F248" i="3"/>
  <c r="F209" i="3"/>
  <c r="F232" i="3"/>
  <c r="F227" i="3"/>
  <c r="F225" i="3"/>
  <c r="F224" i="3"/>
  <c r="F211" i="3"/>
  <c r="F208" i="3"/>
  <c r="F222" i="3"/>
  <c r="F204" i="3"/>
  <c r="F229" i="3"/>
  <c r="F252" i="3"/>
  <c r="F221" i="3"/>
  <c r="F258" i="3"/>
  <c r="F218" i="3"/>
  <c r="F216" i="3"/>
  <c r="F207" i="3"/>
  <c r="F217" i="3"/>
  <c r="F192" i="3"/>
  <c r="F231" i="3"/>
  <c r="F228" i="3"/>
  <c r="F223" i="3"/>
  <c r="F220" i="3"/>
  <c r="F219" i="3"/>
  <c r="F212" i="3"/>
  <c r="F230" i="3"/>
  <c r="F205" i="3"/>
  <c r="F197" i="3"/>
  <c r="F195" i="3"/>
  <c r="F186" i="3"/>
  <c r="F183" i="3"/>
  <c r="F201" i="3"/>
  <c r="F179" i="3"/>
  <c r="F202" i="3"/>
  <c r="F190" i="3"/>
  <c r="F213" i="3"/>
  <c r="F198" i="3"/>
  <c r="F178" i="3"/>
  <c r="F180" i="3"/>
  <c r="F139" i="3"/>
  <c r="F119" i="3"/>
  <c r="F199" i="3"/>
  <c r="F194" i="3"/>
  <c r="F187" i="3"/>
  <c r="F182" i="3"/>
  <c r="F109" i="3"/>
  <c r="F193" i="3"/>
  <c r="F181" i="3"/>
  <c r="F155" i="3"/>
  <c r="F203" i="3"/>
  <c r="F191" i="3"/>
  <c r="F185" i="3"/>
  <c r="F189" i="3"/>
  <c r="F177" i="3"/>
  <c r="F174" i="3"/>
  <c r="F169" i="3"/>
  <c r="F165" i="3"/>
  <c r="F153" i="3"/>
  <c r="F149" i="3"/>
  <c r="F147" i="3"/>
  <c r="F144" i="3"/>
  <c r="F142" i="3"/>
  <c r="F140" i="3"/>
  <c r="F121" i="3"/>
  <c r="F116" i="3"/>
  <c r="F196" i="3"/>
  <c r="F176" i="3"/>
  <c r="F161" i="3"/>
  <c r="F158" i="3"/>
  <c r="F138" i="3"/>
  <c r="F134" i="3"/>
  <c r="F126" i="3"/>
  <c r="F200" i="3"/>
  <c r="F184" i="3"/>
  <c r="F115" i="3"/>
  <c r="F173" i="3"/>
  <c r="F170" i="3"/>
  <c r="F166" i="3"/>
  <c r="F160" i="3"/>
  <c r="F159" i="3"/>
  <c r="F156" i="3"/>
  <c r="F154" i="3"/>
  <c r="F150" i="3"/>
  <c r="F141" i="3"/>
  <c r="F135" i="3"/>
  <c r="F132" i="3"/>
  <c r="F129" i="3"/>
  <c r="F127" i="3"/>
  <c r="F124" i="3"/>
  <c r="F122" i="3"/>
  <c r="F118" i="3"/>
  <c r="F117" i="3"/>
  <c r="F136" i="3"/>
  <c r="F172" i="3"/>
  <c r="F171" i="3"/>
  <c r="F162" i="3"/>
  <c r="F157" i="3"/>
  <c r="F148" i="3"/>
  <c r="F146" i="3"/>
  <c r="F145" i="3"/>
  <c r="F137" i="3"/>
  <c r="F133" i="3"/>
  <c r="F130" i="3"/>
  <c r="F125" i="3"/>
  <c r="F168" i="3"/>
  <c r="F164" i="3"/>
  <c r="F152" i="3"/>
  <c r="F128" i="3"/>
  <c r="F167" i="3"/>
  <c r="F111" i="3"/>
  <c r="F100" i="3"/>
  <c r="F175" i="3"/>
  <c r="F123" i="3"/>
  <c r="F99" i="3"/>
  <c r="F87" i="3"/>
  <c r="F52" i="3"/>
  <c r="F34" i="3"/>
  <c r="F28" i="3"/>
  <c r="F60" i="3"/>
  <c r="F53" i="3"/>
  <c r="F120" i="3"/>
  <c r="F81" i="3"/>
  <c r="F77" i="3"/>
  <c r="F73" i="3"/>
  <c r="F151" i="3"/>
  <c r="F112" i="3"/>
  <c r="F106" i="3"/>
  <c r="F105" i="3"/>
  <c r="F104" i="3"/>
  <c r="F98" i="3"/>
  <c r="F86" i="3"/>
  <c r="F76" i="3"/>
  <c r="F70" i="3"/>
  <c r="F63" i="3"/>
  <c r="F113" i="3"/>
  <c r="F107" i="3"/>
  <c r="F91" i="3"/>
  <c r="F78" i="3"/>
  <c r="F67" i="3"/>
  <c r="F83" i="3"/>
  <c r="F55" i="3"/>
  <c r="F51" i="3"/>
  <c r="F44" i="3"/>
  <c r="F101" i="3"/>
  <c r="F93" i="3"/>
  <c r="F131" i="3"/>
  <c r="F110" i="3"/>
  <c r="F96" i="3"/>
  <c r="F95" i="3"/>
  <c r="F88" i="3"/>
  <c r="F72" i="3"/>
  <c r="F69" i="3"/>
  <c r="F68" i="3"/>
  <c r="F66" i="3"/>
  <c r="F108" i="3"/>
  <c r="F74" i="3"/>
  <c r="F97" i="3"/>
  <c r="F57" i="3"/>
  <c r="F143" i="3"/>
  <c r="F89" i="3"/>
  <c r="F114" i="3"/>
  <c r="F103" i="3"/>
  <c r="F92" i="3"/>
  <c r="F90" i="3"/>
  <c r="F80" i="3"/>
  <c r="F79" i="3"/>
  <c r="F75" i="3"/>
  <c r="F62" i="3"/>
  <c r="F163" i="3"/>
  <c r="F102" i="3"/>
  <c r="F94" i="3"/>
  <c r="F82" i="3"/>
  <c r="F71" i="3"/>
  <c r="F56" i="3"/>
  <c r="F45" i="3"/>
  <c r="F27" i="3"/>
  <c r="F59" i="3"/>
  <c r="F42" i="3"/>
  <c r="F58" i="3"/>
  <c r="F54" i="3"/>
  <c r="F35" i="3"/>
  <c r="F46" i="3"/>
  <c r="F48" i="3"/>
  <c r="F33" i="3"/>
  <c r="F32" i="3"/>
  <c r="F31" i="3"/>
  <c r="F30" i="3"/>
  <c r="F50" i="3"/>
  <c r="F43" i="3"/>
  <c r="F36" i="3"/>
  <c r="F29" i="3"/>
  <c r="F26" i="3"/>
  <c r="F38" i="3"/>
  <c r="F47" i="3"/>
  <c r="F40" i="3"/>
  <c r="F39" i="3"/>
  <c r="F25" i="3"/>
  <c r="E25" i="3" s="1"/>
  <c r="F41" i="3"/>
  <c r="H29" i="4"/>
  <c r="P5" i="4" s="1"/>
  <c r="M265" i="3"/>
  <c r="H270" i="4" s="1"/>
  <c r="P10" i="3"/>
  <c r="K253" i="3"/>
  <c r="K241" i="3"/>
  <c r="K217" i="3"/>
  <c r="K229" i="3"/>
  <c r="K193" i="3"/>
  <c r="K181" i="3"/>
  <c r="K205" i="3"/>
  <c r="Y2" i="3"/>
  <c r="K145" i="3"/>
  <c r="K133" i="3"/>
  <c r="K121" i="3"/>
  <c r="K169" i="3"/>
  <c r="K157" i="3"/>
  <c r="K109" i="3"/>
  <c r="K97" i="3"/>
  <c r="K73" i="3"/>
  <c r="K49" i="3"/>
  <c r="K37" i="3"/>
  <c r="K61" i="3"/>
  <c r="K24" i="3"/>
  <c r="F64" i="3" l="1"/>
  <c r="F65" i="3" s="1"/>
  <c r="K85" i="3"/>
  <c r="M90" i="4" s="1"/>
  <c r="F84" i="3"/>
  <c r="F85" i="3" s="1"/>
  <c r="F90" i="4" s="1"/>
  <c r="G26" i="3"/>
  <c r="G31" i="4" s="1"/>
  <c r="D30" i="4"/>
  <c r="E26" i="3"/>
  <c r="M42" i="4"/>
  <c r="Y3" i="3"/>
  <c r="M222" i="4"/>
  <c r="Y18" i="3"/>
  <c r="Y4" i="3"/>
  <c r="M54" i="4"/>
  <c r="M138" i="4"/>
  <c r="Y11" i="3"/>
  <c r="M29" i="4"/>
  <c r="K265" i="3"/>
  <c r="M270" i="4" s="1"/>
  <c r="Y7" i="3"/>
  <c r="M162" i="4"/>
  <c r="Y13" i="3"/>
  <c r="M150" i="4"/>
  <c r="Y12" i="3"/>
  <c r="M198" i="4"/>
  <c r="Y16" i="3"/>
  <c r="Y21" i="3"/>
  <c r="M258" i="4"/>
  <c r="F46" i="4"/>
  <c r="F52" i="4"/>
  <c r="F41" i="4"/>
  <c r="F36" i="4"/>
  <c r="F63" i="4"/>
  <c r="F50" i="4"/>
  <c r="F99" i="4"/>
  <c r="F69" i="4"/>
  <c r="F95" i="4"/>
  <c r="F94" i="4"/>
  <c r="F79" i="4"/>
  <c r="F74" i="4"/>
  <c r="F101" i="4"/>
  <c r="F106" i="4"/>
  <c r="F88" i="4"/>
  <c r="F112" i="4"/>
  <c r="F81" i="4"/>
  <c r="F110" i="4"/>
  <c r="F78" i="4"/>
  <c r="F58" i="4"/>
  <c r="F57" i="4"/>
  <c r="F180" i="4"/>
  <c r="F116" i="4"/>
  <c r="F157" i="4"/>
  <c r="F135" i="4"/>
  <c r="F151" i="4"/>
  <c r="F176" i="4"/>
  <c r="F123" i="4"/>
  <c r="F134" i="4"/>
  <c r="F155" i="4"/>
  <c r="F165" i="4"/>
  <c r="F120" i="4"/>
  <c r="F139" i="4"/>
  <c r="F181" i="4"/>
  <c r="F145" i="4"/>
  <c r="F154" i="4"/>
  <c r="F179" i="4"/>
  <c r="F196" i="4"/>
  <c r="F198" i="4"/>
  <c r="F199" i="4"/>
  <c r="F185" i="4"/>
  <c r="F195" i="4"/>
  <c r="F188" i="4"/>
  <c r="F210" i="4"/>
  <c r="F225" i="4"/>
  <c r="F197" i="4"/>
  <c r="F223" i="4"/>
  <c r="F234" i="4"/>
  <c r="F216" i="4"/>
  <c r="F237" i="4"/>
  <c r="F211" i="4"/>
  <c r="F231" i="4"/>
  <c r="F259" i="4"/>
  <c r="F262" i="4"/>
  <c r="F254" i="4"/>
  <c r="F260" i="4"/>
  <c r="F42" i="4"/>
  <c r="F249" i="4"/>
  <c r="F245" i="4"/>
  <c r="F266" i="4"/>
  <c r="M126" i="4"/>
  <c r="Y10" i="3"/>
  <c r="M66" i="4"/>
  <c r="Y5" i="3"/>
  <c r="M78" i="4"/>
  <c r="Y6" i="3"/>
  <c r="M174" i="4"/>
  <c r="Y14" i="3"/>
  <c r="Z2" i="3"/>
  <c r="Y19" i="3"/>
  <c r="M234" i="4"/>
  <c r="F30" i="4"/>
  <c r="H25" i="3"/>
  <c r="F43" i="4"/>
  <c r="F48" i="4"/>
  <c r="F37" i="4"/>
  <c r="F51" i="4"/>
  <c r="F47" i="4"/>
  <c r="F61" i="4"/>
  <c r="F107" i="4"/>
  <c r="F80" i="4"/>
  <c r="F97" i="4"/>
  <c r="F148" i="4"/>
  <c r="F113" i="4"/>
  <c r="F77" i="4"/>
  <c r="F115" i="4"/>
  <c r="F49" i="4"/>
  <c r="F72" i="4"/>
  <c r="F118" i="4"/>
  <c r="F91" i="4"/>
  <c r="F111" i="4"/>
  <c r="F82" i="4"/>
  <c r="F65" i="4"/>
  <c r="F92" i="4"/>
  <c r="F169" i="4"/>
  <c r="F138" i="4"/>
  <c r="F153" i="4"/>
  <c r="F177" i="4"/>
  <c r="F127" i="4"/>
  <c r="F137" i="4"/>
  <c r="F159" i="4"/>
  <c r="F171" i="4"/>
  <c r="F189" i="4"/>
  <c r="F143" i="4"/>
  <c r="F201" i="4"/>
  <c r="F147" i="4"/>
  <c r="F158" i="4"/>
  <c r="F182" i="4"/>
  <c r="F208" i="4"/>
  <c r="F114" i="4"/>
  <c r="F204" i="4"/>
  <c r="F183" i="4"/>
  <c r="F207" i="4"/>
  <c r="F191" i="4"/>
  <c r="F235" i="4"/>
  <c r="F228" i="4"/>
  <c r="F222" i="4"/>
  <c r="F263" i="4"/>
  <c r="F209" i="4"/>
  <c r="F229" i="4"/>
  <c r="F214" i="4"/>
  <c r="F219" i="4"/>
  <c r="F238" i="4"/>
  <c r="F265" i="4"/>
  <c r="F54" i="4"/>
  <c r="F241" i="4"/>
  <c r="H24" i="3"/>
  <c r="R24" i="3" s="1"/>
  <c r="F261" i="4"/>
  <c r="F250" i="4"/>
  <c r="F267" i="4"/>
  <c r="F44" i="4"/>
  <c r="F31" i="4"/>
  <c r="F55" i="4"/>
  <c r="F38" i="4"/>
  <c r="F40" i="4"/>
  <c r="F64" i="4"/>
  <c r="F76" i="4"/>
  <c r="F168" i="4"/>
  <c r="F84" i="4"/>
  <c r="F108" i="4"/>
  <c r="F62" i="4"/>
  <c r="F71" i="4"/>
  <c r="F93" i="4"/>
  <c r="F136" i="4"/>
  <c r="F56" i="4"/>
  <c r="F83" i="4"/>
  <c r="F68" i="4"/>
  <c r="F103" i="4"/>
  <c r="F117" i="4"/>
  <c r="F86" i="4"/>
  <c r="F33" i="4"/>
  <c r="F104" i="4"/>
  <c r="F172" i="4"/>
  <c r="F173" i="4"/>
  <c r="F142" i="4"/>
  <c r="F162" i="4"/>
  <c r="F141" i="4"/>
  <c r="F129" i="4"/>
  <c r="F140" i="4"/>
  <c r="F161" i="4"/>
  <c r="F175" i="4"/>
  <c r="F205" i="4"/>
  <c r="F163" i="4"/>
  <c r="F121" i="4"/>
  <c r="F149" i="4"/>
  <c r="F170" i="4"/>
  <c r="F194" i="4"/>
  <c r="F160" i="4"/>
  <c r="F187" i="4"/>
  <c r="F124" i="4"/>
  <c r="F203" i="4"/>
  <c r="F184" i="4"/>
  <c r="F200" i="4"/>
  <c r="F217" i="4"/>
  <c r="F233" i="4"/>
  <c r="F212" i="4"/>
  <c r="F226" i="4"/>
  <c r="F227" i="4"/>
  <c r="F230" i="4"/>
  <c r="F253" i="4"/>
  <c r="F215" i="4"/>
  <c r="F247" i="4"/>
  <c r="F248" i="4"/>
  <c r="F264" i="4"/>
  <c r="F66" i="4"/>
  <c r="F239" i="4"/>
  <c r="F268" i="4"/>
  <c r="F242" i="4"/>
  <c r="F256" i="4"/>
  <c r="F240" i="4"/>
  <c r="M102" i="4"/>
  <c r="Y8" i="3"/>
  <c r="Z8" i="3" s="1"/>
  <c r="M210" i="4"/>
  <c r="Y17" i="3"/>
  <c r="Y9" i="3"/>
  <c r="M114" i="4"/>
  <c r="M186" i="4"/>
  <c r="Y15" i="3"/>
  <c r="Y20" i="3"/>
  <c r="M246" i="4"/>
  <c r="F45" i="4"/>
  <c r="F34" i="4"/>
  <c r="F35" i="4"/>
  <c r="F53" i="4"/>
  <c r="F59" i="4"/>
  <c r="F32" i="4"/>
  <c r="F87" i="4"/>
  <c r="F67" i="4"/>
  <c r="F85" i="4"/>
  <c r="F119" i="4"/>
  <c r="F102" i="4"/>
  <c r="F73" i="4"/>
  <c r="F100" i="4"/>
  <c r="F98" i="4"/>
  <c r="F60" i="4"/>
  <c r="F96" i="4"/>
  <c r="F75" i="4"/>
  <c r="F109" i="4"/>
  <c r="F156" i="4"/>
  <c r="F125" i="4"/>
  <c r="F39" i="4"/>
  <c r="F128" i="4"/>
  <c r="F105" i="4"/>
  <c r="F133" i="4"/>
  <c r="F130" i="4"/>
  <c r="F150" i="4"/>
  <c r="F167" i="4"/>
  <c r="F122" i="4"/>
  <c r="F132" i="4"/>
  <c r="F146" i="4"/>
  <c r="F164" i="4"/>
  <c r="F178" i="4"/>
  <c r="F131" i="4"/>
  <c r="F166" i="4"/>
  <c r="F126" i="4"/>
  <c r="F152" i="4"/>
  <c r="F174" i="4"/>
  <c r="F190" i="4"/>
  <c r="F186" i="4"/>
  <c r="F192" i="4"/>
  <c r="F144" i="4"/>
  <c r="F218" i="4"/>
  <c r="F206" i="4"/>
  <c r="F202" i="4"/>
  <c r="F224" i="4"/>
  <c r="F236" i="4"/>
  <c r="F221" i="4"/>
  <c r="F257" i="4"/>
  <c r="F213" i="4"/>
  <c r="F232" i="4"/>
  <c r="F193" i="4"/>
  <c r="F220" i="4"/>
  <c r="F255" i="4"/>
  <c r="F252" i="4"/>
  <c r="F251" i="4"/>
  <c r="F264" i="3"/>
  <c r="F246" i="4"/>
  <c r="G30" i="4"/>
  <c r="F243" i="4"/>
  <c r="F258" i="4"/>
  <c r="F244" i="4"/>
  <c r="H26" i="3" l="1"/>
  <c r="F18" i="3"/>
  <c r="F20" i="3" s="1"/>
  <c r="F70" i="4"/>
  <c r="F89" i="4"/>
  <c r="Z20" i="3"/>
  <c r="Z9" i="3"/>
  <c r="Z14" i="3"/>
  <c r="Z15" i="3"/>
  <c r="Z17" i="3"/>
  <c r="Y22" i="3"/>
  <c r="Z4" i="3"/>
  <c r="F269" i="4"/>
  <c r="R26" i="3"/>
  <c r="E31" i="4"/>
  <c r="Z5" i="3"/>
  <c r="Z12" i="3"/>
  <c r="Z7" i="3"/>
  <c r="Z11" i="3"/>
  <c r="Z18" i="3"/>
  <c r="D31" i="4"/>
  <c r="G27" i="3"/>
  <c r="E27" i="3"/>
  <c r="R25" i="3"/>
  <c r="E30" i="4"/>
  <c r="Z19" i="3"/>
  <c r="Z21" i="3"/>
  <c r="F265" i="3"/>
  <c r="F270" i="4" s="1"/>
  <c r="Z6" i="3"/>
  <c r="Z10" i="3"/>
  <c r="Z16" i="3"/>
  <c r="Z13" i="3"/>
  <c r="Z3" i="3"/>
  <c r="Z22" i="3" l="1"/>
  <c r="N11" i="3" s="1"/>
  <c r="P11" i="3" s="1"/>
  <c r="D32" i="4"/>
  <c r="E28" i="3"/>
  <c r="G28" i="3"/>
  <c r="G32" i="4"/>
  <c r="H27" i="3"/>
  <c r="N9" i="3" l="1"/>
  <c r="P9" i="3" s="1"/>
  <c r="D38" i="1" s="1"/>
  <c r="R27" i="3"/>
  <c r="E32" i="4"/>
  <c r="G29" i="3"/>
  <c r="E29" i="3"/>
  <c r="D33" i="4"/>
  <c r="G33" i="4"/>
  <c r="H28" i="3"/>
  <c r="P7" i="4" l="1"/>
  <c r="D34" i="4"/>
  <c r="G30" i="3"/>
  <c r="E30" i="3"/>
  <c r="E38" i="1"/>
  <c r="B38" i="1" s="1"/>
  <c r="R28" i="3"/>
  <c r="E33" i="4"/>
  <c r="G34" i="4"/>
  <c r="H29" i="3"/>
  <c r="D35" i="4" l="1"/>
  <c r="G31" i="3"/>
  <c r="E31" i="3"/>
  <c r="R29" i="3"/>
  <c r="E34" i="4"/>
  <c r="G35" i="4"/>
  <c r="H30" i="3"/>
  <c r="G36" i="4" l="1"/>
  <c r="H31" i="3"/>
  <c r="R30" i="3"/>
  <c r="E35" i="4"/>
  <c r="D36" i="4"/>
  <c r="E32" i="3"/>
  <c r="G32" i="3"/>
  <c r="D37" i="4" l="1"/>
  <c r="E33" i="3"/>
  <c r="G33" i="3"/>
  <c r="G37" i="4"/>
  <c r="H32" i="3"/>
  <c r="E36" i="4"/>
  <c r="R31" i="3"/>
  <c r="R32" i="3" l="1"/>
  <c r="E37" i="4"/>
  <c r="G38" i="4"/>
  <c r="H33" i="3"/>
  <c r="E34" i="3"/>
  <c r="G34" i="3"/>
  <c r="D38" i="4"/>
  <c r="E38" i="4" l="1"/>
  <c r="R33" i="3"/>
  <c r="G39" i="4"/>
  <c r="H34" i="3"/>
  <c r="D39" i="4"/>
  <c r="G35" i="3"/>
  <c r="E35" i="3"/>
  <c r="E36" i="3" l="1"/>
  <c r="D40" i="4"/>
  <c r="G36" i="3"/>
  <c r="R34" i="3"/>
  <c r="E39" i="4"/>
  <c r="G40" i="4"/>
  <c r="H35" i="3"/>
  <c r="G41" i="4" l="1"/>
  <c r="H36" i="3"/>
  <c r="R35" i="3"/>
  <c r="E40" i="4"/>
  <c r="D41" i="4"/>
  <c r="E37" i="3"/>
  <c r="G37" i="3"/>
  <c r="G42" i="4" l="1"/>
  <c r="H37" i="3"/>
  <c r="E41" i="4"/>
  <c r="R36" i="3"/>
  <c r="D42" i="4"/>
  <c r="E38" i="3"/>
  <c r="G38" i="3"/>
  <c r="E42" i="4" l="1"/>
  <c r="R37" i="3"/>
  <c r="G43" i="4"/>
  <c r="H38" i="3"/>
  <c r="D43" i="4"/>
  <c r="G39" i="3"/>
  <c r="E39" i="3"/>
  <c r="D44" i="4" l="1"/>
  <c r="G40" i="3"/>
  <c r="E40" i="3"/>
  <c r="R38" i="3"/>
  <c r="E43" i="4"/>
  <c r="G44" i="4"/>
  <c r="H39" i="3"/>
  <c r="E44" i="4" l="1"/>
  <c r="R39" i="3"/>
  <c r="G45" i="4"/>
  <c r="H40" i="3"/>
  <c r="G41" i="3"/>
  <c r="D45" i="4"/>
  <c r="E41" i="3"/>
  <c r="D46" i="4" l="1"/>
  <c r="G42" i="3"/>
  <c r="E42" i="3"/>
  <c r="R40" i="3"/>
  <c r="E45" i="4"/>
  <c r="G46" i="4"/>
  <c r="H41" i="3"/>
  <c r="E46" i="4" l="1"/>
  <c r="R41" i="3"/>
  <c r="G47" i="4"/>
  <c r="H42" i="3"/>
  <c r="D47" i="4"/>
  <c r="G43" i="3"/>
  <c r="E43" i="3"/>
  <c r="E47" i="4" l="1"/>
  <c r="R42" i="3"/>
  <c r="D48" i="4"/>
  <c r="G44" i="3"/>
  <c r="E44" i="3"/>
  <c r="G48" i="4"/>
  <c r="H43" i="3"/>
  <c r="G49" i="4" l="1"/>
  <c r="H44" i="3"/>
  <c r="R43" i="3"/>
  <c r="E48" i="4"/>
  <c r="D49" i="4"/>
  <c r="E45" i="3"/>
  <c r="G45" i="3"/>
  <c r="G50" i="4" l="1"/>
  <c r="H45" i="3"/>
  <c r="E49" i="4"/>
  <c r="R44" i="3"/>
  <c r="D50" i="4"/>
  <c r="G46" i="3"/>
  <c r="E46" i="3"/>
  <c r="D51" i="4" l="1"/>
  <c r="G47" i="3"/>
  <c r="E47" i="3"/>
  <c r="E50" i="4"/>
  <c r="R45" i="3"/>
  <c r="G51" i="4"/>
  <c r="H46" i="3"/>
  <c r="G48" i="3" l="1"/>
  <c r="E48" i="3"/>
  <c r="D52" i="4"/>
  <c r="G52" i="4"/>
  <c r="H47" i="3"/>
  <c r="R46" i="3"/>
  <c r="E51" i="4"/>
  <c r="R47" i="3" l="1"/>
  <c r="E52" i="4"/>
  <c r="D53" i="4"/>
  <c r="G49" i="3"/>
  <c r="E49" i="3"/>
  <c r="G53" i="4"/>
  <c r="H48" i="3"/>
  <c r="G54" i="4" l="1"/>
  <c r="H49" i="3"/>
  <c r="E53" i="4"/>
  <c r="R48" i="3"/>
  <c r="D54" i="4"/>
  <c r="G50" i="3"/>
  <c r="E50" i="3"/>
  <c r="G55" i="4" l="1"/>
  <c r="H50" i="3"/>
  <c r="D55" i="4"/>
  <c r="G51" i="3"/>
  <c r="E51" i="3"/>
  <c r="R49" i="3"/>
  <c r="E54" i="4"/>
  <c r="G56" i="4" l="1"/>
  <c r="H51" i="3"/>
  <c r="R50" i="3"/>
  <c r="E55" i="4"/>
  <c r="D56" i="4"/>
  <c r="G52" i="3"/>
  <c r="E52" i="3"/>
  <c r="D57" i="4" l="1"/>
  <c r="E53" i="3"/>
  <c r="G53" i="3"/>
  <c r="E56" i="4"/>
  <c r="R51" i="3"/>
  <c r="G57" i="4"/>
  <c r="H52" i="3"/>
  <c r="G58" i="4" l="1"/>
  <c r="H53" i="3"/>
  <c r="D58" i="4"/>
  <c r="G54" i="3"/>
  <c r="E54" i="3"/>
  <c r="E57" i="4"/>
  <c r="R52" i="3"/>
  <c r="G59" i="4" l="1"/>
  <c r="H54" i="3"/>
  <c r="E58" i="4"/>
  <c r="R53" i="3"/>
  <c r="D59" i="4"/>
  <c r="G55" i="3"/>
  <c r="E55" i="3"/>
  <c r="D60" i="4" l="1"/>
  <c r="E56" i="3"/>
  <c r="G56" i="3"/>
  <c r="R54" i="3"/>
  <c r="E59" i="4"/>
  <c r="G60" i="4"/>
  <c r="H55" i="3"/>
  <c r="E60" i="4" l="1"/>
  <c r="R55" i="3"/>
  <c r="D61" i="4"/>
  <c r="G57" i="3"/>
  <c r="E57" i="3"/>
  <c r="G61" i="4"/>
  <c r="H56" i="3"/>
  <c r="G62" i="4" l="1"/>
  <c r="H57" i="3"/>
  <c r="E61" i="4"/>
  <c r="R56" i="3"/>
  <c r="D62" i="4"/>
  <c r="G58" i="3"/>
  <c r="E58" i="3"/>
  <c r="D63" i="4" l="1"/>
  <c r="G59" i="3"/>
  <c r="E59" i="3"/>
  <c r="R57" i="3"/>
  <c r="E62" i="4"/>
  <c r="G63" i="4"/>
  <c r="H58" i="3"/>
  <c r="R58" i="3" l="1"/>
  <c r="E63" i="4"/>
  <c r="G64" i="4"/>
  <c r="H59" i="3"/>
  <c r="D64" i="4"/>
  <c r="E60" i="3"/>
  <c r="G60" i="3"/>
  <c r="E64" i="4" l="1"/>
  <c r="R59" i="3"/>
  <c r="G65" i="4"/>
  <c r="H60" i="3"/>
  <c r="G61" i="3"/>
  <c r="D65" i="4"/>
  <c r="E61" i="3"/>
  <c r="D66" i="4" l="1"/>
  <c r="G62" i="3"/>
  <c r="E62" i="3"/>
  <c r="E65" i="4"/>
  <c r="R60" i="3"/>
  <c r="G66" i="4"/>
  <c r="H61" i="3"/>
  <c r="D67" i="4" l="1"/>
  <c r="G63" i="3"/>
  <c r="E63" i="3"/>
  <c r="G67" i="4"/>
  <c r="H62" i="3"/>
  <c r="E66" i="4"/>
  <c r="R61" i="3"/>
  <c r="G64" i="3" l="1"/>
  <c r="D68" i="4"/>
  <c r="E64" i="3"/>
  <c r="G68" i="4"/>
  <c r="H63" i="3"/>
  <c r="R62" i="3"/>
  <c r="E67" i="4"/>
  <c r="D69" i="4" l="1"/>
  <c r="G65" i="3"/>
  <c r="Q65" i="3" s="1"/>
  <c r="P70" i="4" s="1"/>
  <c r="E65" i="3"/>
  <c r="R63" i="3"/>
  <c r="E68" i="4"/>
  <c r="G69" i="4"/>
  <c r="H64" i="3"/>
  <c r="R64" i="3" l="1"/>
  <c r="P65" i="3" s="1"/>
  <c r="O70" i="4" s="1"/>
  <c r="E69" i="4"/>
  <c r="G70" i="4"/>
  <c r="H65" i="3"/>
  <c r="D70" i="4"/>
  <c r="G66" i="3"/>
  <c r="E66" i="3"/>
  <c r="R65" i="3" l="1"/>
  <c r="E70" i="4"/>
  <c r="D71" i="4"/>
  <c r="G67" i="3"/>
  <c r="E67" i="3"/>
  <c r="G71" i="4"/>
  <c r="H66" i="3"/>
  <c r="G72" i="4" l="1"/>
  <c r="H67" i="3"/>
  <c r="R66" i="3"/>
  <c r="E71" i="4"/>
  <c r="G68" i="3"/>
  <c r="D72" i="4"/>
  <c r="E68" i="3"/>
  <c r="D73" i="4" l="1"/>
  <c r="G69" i="3"/>
  <c r="E69" i="3"/>
  <c r="E72" i="4"/>
  <c r="R67" i="3"/>
  <c r="G73" i="4"/>
  <c r="H68" i="3"/>
  <c r="R68" i="3" l="1"/>
  <c r="E73" i="4"/>
  <c r="G74" i="4"/>
  <c r="H69" i="3"/>
  <c r="D74" i="4"/>
  <c r="G70" i="3"/>
  <c r="E70" i="3"/>
  <c r="R69" i="3" l="1"/>
  <c r="E74" i="4"/>
  <c r="D75" i="4"/>
  <c r="G71" i="3"/>
  <c r="E71" i="3"/>
  <c r="G75" i="4"/>
  <c r="H70" i="3"/>
  <c r="G76" i="4" l="1"/>
  <c r="H71" i="3"/>
  <c r="E75" i="4"/>
  <c r="R70" i="3"/>
  <c r="G72" i="3"/>
  <c r="D76" i="4"/>
  <c r="E72" i="3"/>
  <c r="D77" i="4" l="1"/>
  <c r="G73" i="3"/>
  <c r="E73" i="3"/>
  <c r="E76" i="4"/>
  <c r="R71" i="3"/>
  <c r="G77" i="4"/>
  <c r="H72" i="3"/>
  <c r="D78" i="4" l="1"/>
  <c r="G74" i="3"/>
  <c r="E74" i="3"/>
  <c r="G78" i="4"/>
  <c r="H73" i="3"/>
  <c r="R72" i="3"/>
  <c r="E77" i="4"/>
  <c r="G75" i="3" l="1"/>
  <c r="D79" i="4"/>
  <c r="E75" i="3"/>
  <c r="G79" i="4"/>
  <c r="H74" i="3"/>
  <c r="E78" i="4"/>
  <c r="R73" i="3"/>
  <c r="E79" i="4" l="1"/>
  <c r="R74" i="3"/>
  <c r="D80" i="4"/>
  <c r="G76" i="3"/>
  <c r="E76" i="3"/>
  <c r="G80" i="4"/>
  <c r="H75" i="3"/>
  <c r="G81" i="4" l="1"/>
  <c r="H76" i="3"/>
  <c r="R75" i="3"/>
  <c r="E80" i="4"/>
  <c r="G77" i="3"/>
  <c r="D81" i="4"/>
  <c r="E77" i="3"/>
  <c r="G78" i="3" l="1"/>
  <c r="D82" i="4"/>
  <c r="E78" i="3"/>
  <c r="R76" i="3"/>
  <c r="E81" i="4"/>
  <c r="G82" i="4"/>
  <c r="H77" i="3"/>
  <c r="E82" i="4" l="1"/>
  <c r="R77" i="3"/>
  <c r="G79" i="3"/>
  <c r="D83" i="4"/>
  <c r="E79" i="3"/>
  <c r="G83" i="4"/>
  <c r="H78" i="3"/>
  <c r="R78" i="3" l="1"/>
  <c r="E83" i="4"/>
  <c r="G84" i="4"/>
  <c r="H79" i="3"/>
  <c r="D84" i="4"/>
  <c r="E80" i="3"/>
  <c r="G80" i="3"/>
  <c r="E84" i="4" l="1"/>
  <c r="R79" i="3"/>
  <c r="D85" i="4"/>
  <c r="G81" i="3"/>
  <c r="E81" i="3"/>
  <c r="G85" i="4"/>
  <c r="H80" i="3"/>
  <c r="G86" i="4" l="1"/>
  <c r="H81" i="3"/>
  <c r="E85" i="4"/>
  <c r="R80" i="3"/>
  <c r="D86" i="4"/>
  <c r="G82" i="3"/>
  <c r="E82" i="3"/>
  <c r="G87" i="4" l="1"/>
  <c r="H82" i="3"/>
  <c r="D87" i="4"/>
  <c r="G83" i="3"/>
  <c r="E83" i="3"/>
  <c r="R81" i="3"/>
  <c r="E86" i="4"/>
  <c r="G88" i="4" l="1"/>
  <c r="H83" i="3"/>
  <c r="R82" i="3"/>
  <c r="E87" i="4"/>
  <c r="G84" i="3"/>
  <c r="D88" i="4"/>
  <c r="E84" i="3"/>
  <c r="G85" i="3" l="1"/>
  <c r="Q85" i="3" s="1"/>
  <c r="P90" i="4" s="1"/>
  <c r="D89" i="4"/>
  <c r="E85" i="3"/>
  <c r="G86" i="3" s="1"/>
  <c r="R83" i="3"/>
  <c r="E88" i="4"/>
  <c r="G89" i="4"/>
  <c r="H84" i="3"/>
  <c r="R84" i="3" l="1"/>
  <c r="P85" i="3" s="1"/>
  <c r="O90" i="4" s="1"/>
  <c r="E89" i="4"/>
  <c r="G90" i="4"/>
  <c r="H85" i="3"/>
  <c r="D90" i="4"/>
  <c r="E86" i="3"/>
  <c r="G87" i="3" s="1"/>
  <c r="R85" i="3" l="1"/>
  <c r="E90" i="4"/>
  <c r="D91" i="4"/>
  <c r="E87" i="3"/>
  <c r="G88" i="3" s="1"/>
  <c r="G91" i="4"/>
  <c r="H86" i="3"/>
  <c r="G92" i="4" l="1"/>
  <c r="H87" i="3"/>
  <c r="E91" i="4"/>
  <c r="R86" i="3"/>
  <c r="D92" i="4"/>
  <c r="E88" i="3"/>
  <c r="G89" i="3" s="1"/>
  <c r="D93" i="4" l="1"/>
  <c r="E89" i="3"/>
  <c r="G90" i="3" s="1"/>
  <c r="E92" i="4"/>
  <c r="R87" i="3"/>
  <c r="G93" i="4"/>
  <c r="H88" i="3"/>
  <c r="E93" i="4" l="1"/>
  <c r="R88" i="3"/>
  <c r="D94" i="4"/>
  <c r="E90" i="3"/>
  <c r="G91" i="3" s="1"/>
  <c r="G94" i="4"/>
  <c r="H89" i="3"/>
  <c r="R89" i="3" l="1"/>
  <c r="E94" i="4"/>
  <c r="G95" i="4"/>
  <c r="H90" i="3"/>
  <c r="D95" i="4"/>
  <c r="E91" i="3"/>
  <c r="G92" i="3" s="1"/>
  <c r="R90" i="3" l="1"/>
  <c r="E95" i="4"/>
  <c r="D96" i="4"/>
  <c r="E92" i="3"/>
  <c r="G93" i="3" s="1"/>
  <c r="G96" i="4"/>
  <c r="H91" i="3"/>
  <c r="G97" i="4" l="1"/>
  <c r="H92" i="3"/>
  <c r="E96" i="4"/>
  <c r="R91" i="3"/>
  <c r="D97" i="4"/>
  <c r="E93" i="3"/>
  <c r="G94" i="3" s="1"/>
  <c r="D98" i="4" l="1"/>
  <c r="E94" i="3"/>
  <c r="G95" i="3" s="1"/>
  <c r="G98" i="4"/>
  <c r="H93" i="3"/>
  <c r="R92" i="3"/>
  <c r="E97" i="4"/>
  <c r="R93" i="3" l="1"/>
  <c r="E98" i="4"/>
  <c r="D99" i="4"/>
  <c r="E95" i="3"/>
  <c r="G96" i="3" s="1"/>
  <c r="G99" i="4"/>
  <c r="H94" i="3"/>
  <c r="G100" i="4" l="1"/>
  <c r="H95" i="3"/>
  <c r="R94" i="3"/>
  <c r="E99" i="4"/>
  <c r="D100" i="4"/>
  <c r="E96" i="3"/>
  <c r="G97" i="3" s="1"/>
  <c r="D101" i="4" l="1"/>
  <c r="E97" i="3"/>
  <c r="G98" i="3" s="1"/>
  <c r="E100" i="4"/>
  <c r="R95" i="3"/>
  <c r="G101" i="4"/>
  <c r="H96" i="3"/>
  <c r="R96" i="3" l="1"/>
  <c r="E101" i="4"/>
  <c r="D102" i="4"/>
  <c r="E98" i="3"/>
  <c r="G99" i="3" s="1"/>
  <c r="G102" i="4"/>
  <c r="H97" i="3"/>
  <c r="G103" i="4" l="1"/>
  <c r="H98" i="3"/>
  <c r="E102" i="4"/>
  <c r="R97" i="3"/>
  <c r="D103" i="4"/>
  <c r="E99" i="3"/>
  <c r="G100" i="3" s="1"/>
  <c r="G104" i="4" l="1"/>
  <c r="H99" i="3"/>
  <c r="D104" i="4"/>
  <c r="E100" i="3"/>
  <c r="G101" i="3" s="1"/>
  <c r="E103" i="4"/>
  <c r="R98" i="3"/>
  <c r="G105" i="4" l="1"/>
  <c r="H100" i="3"/>
  <c r="E104" i="4"/>
  <c r="R99" i="3"/>
  <c r="D105" i="4"/>
  <c r="E101" i="3"/>
  <c r="G102" i="3" s="1"/>
  <c r="D106" i="4" l="1"/>
  <c r="E102" i="3"/>
  <c r="G103" i="3" s="1"/>
  <c r="E105" i="4"/>
  <c r="R100" i="3"/>
  <c r="G106" i="4"/>
  <c r="H101" i="3"/>
  <c r="E106" i="4" l="1"/>
  <c r="R101" i="3"/>
  <c r="G107" i="4"/>
  <c r="H102" i="3"/>
  <c r="D107" i="4"/>
  <c r="E103" i="3"/>
  <c r="G104" i="3" s="1"/>
  <c r="R102" i="3" l="1"/>
  <c r="E107" i="4"/>
  <c r="D108" i="4"/>
  <c r="E104" i="3"/>
  <c r="G105" i="3" s="1"/>
  <c r="G108" i="4"/>
  <c r="H103" i="3"/>
  <c r="D109" i="4" l="1"/>
  <c r="E105" i="3"/>
  <c r="G106" i="3" s="1"/>
  <c r="E108" i="4"/>
  <c r="R103" i="3"/>
  <c r="G109" i="4"/>
  <c r="H104" i="3"/>
  <c r="D110" i="4" l="1"/>
  <c r="E106" i="3"/>
  <c r="G107" i="3" s="1"/>
  <c r="G110" i="4"/>
  <c r="H105" i="3"/>
  <c r="E109" i="4"/>
  <c r="R104" i="3"/>
  <c r="R105" i="3" l="1"/>
  <c r="E110" i="4"/>
  <c r="D111" i="4"/>
  <c r="E107" i="3"/>
  <c r="G108" i="3" s="1"/>
  <c r="G111" i="4"/>
  <c r="H106" i="3"/>
  <c r="G112" i="4" l="1"/>
  <c r="H107" i="3"/>
  <c r="E111" i="4"/>
  <c r="R106" i="3"/>
  <c r="D112" i="4"/>
  <c r="E108" i="3"/>
  <c r="G109" i="3" s="1"/>
  <c r="D113" i="4" l="1"/>
  <c r="E109" i="3"/>
  <c r="G110" i="3" s="1"/>
  <c r="E112" i="4"/>
  <c r="R107" i="3"/>
  <c r="G113" i="4"/>
  <c r="H108" i="3"/>
  <c r="R108" i="3" l="1"/>
  <c r="E113" i="4"/>
  <c r="G114" i="4"/>
  <c r="H109" i="3"/>
  <c r="D114" i="4"/>
  <c r="E110" i="3"/>
  <c r="G111" i="3" s="1"/>
  <c r="E114" i="4" l="1"/>
  <c r="R109" i="3"/>
  <c r="D115" i="4"/>
  <c r="E111" i="3"/>
  <c r="G112" i="3" s="1"/>
  <c r="G115" i="4"/>
  <c r="H110" i="3"/>
  <c r="G116" i="4" l="1"/>
  <c r="H111" i="3"/>
  <c r="E115" i="4"/>
  <c r="R110" i="3"/>
  <c r="D116" i="4"/>
  <c r="E112" i="3"/>
  <c r="G113" i="3" s="1"/>
  <c r="D117" i="4" l="1"/>
  <c r="E113" i="3"/>
  <c r="G114" i="3" s="1"/>
  <c r="E116" i="4"/>
  <c r="R111" i="3"/>
  <c r="G117" i="4"/>
  <c r="H112" i="3"/>
  <c r="E117" i="4" l="1"/>
  <c r="R112" i="3"/>
  <c r="G118" i="4"/>
  <c r="H113" i="3"/>
  <c r="D118" i="4"/>
  <c r="E114" i="3"/>
  <c r="G115" i="3" s="1"/>
  <c r="R113" i="3" l="1"/>
  <c r="E118" i="4"/>
  <c r="D119" i="4"/>
  <c r="E115" i="3"/>
  <c r="G116" i="3" s="1"/>
  <c r="G119" i="4"/>
  <c r="H114" i="3"/>
  <c r="G120" i="4" l="1"/>
  <c r="H115" i="3"/>
  <c r="R114" i="3"/>
  <c r="E119" i="4"/>
  <c r="D120" i="4"/>
  <c r="E116" i="3"/>
  <c r="G117" i="3" s="1"/>
  <c r="D121" i="4" l="1"/>
  <c r="E117" i="3"/>
  <c r="G118" i="3" s="1"/>
  <c r="E120" i="4"/>
  <c r="R115" i="3"/>
  <c r="G121" i="4"/>
  <c r="H116" i="3"/>
  <c r="D122" i="4" l="1"/>
  <c r="E118" i="3"/>
  <c r="G119" i="3" s="1"/>
  <c r="G122" i="4"/>
  <c r="H117" i="3"/>
  <c r="R116" i="3"/>
  <c r="E121" i="4"/>
  <c r="G123" i="4" l="1"/>
  <c r="H118" i="3"/>
  <c r="D123" i="4"/>
  <c r="E119" i="3"/>
  <c r="G120" i="3" s="1"/>
  <c r="E122" i="4"/>
  <c r="R117" i="3"/>
  <c r="G124" i="4" l="1"/>
  <c r="H119" i="3"/>
  <c r="R118" i="3"/>
  <c r="E123" i="4"/>
  <c r="D124" i="4"/>
  <c r="E120" i="3"/>
  <c r="G121" i="3" s="1"/>
  <c r="D125" i="4" l="1"/>
  <c r="E121" i="3"/>
  <c r="G122" i="3" s="1"/>
  <c r="G125" i="4"/>
  <c r="H120" i="3"/>
  <c r="R119" i="3"/>
  <c r="E124" i="4"/>
  <c r="R120" i="3" l="1"/>
  <c r="E125" i="4"/>
  <c r="D126" i="4"/>
  <c r="E122" i="3"/>
  <c r="G123" i="3" s="1"/>
  <c r="G126" i="4"/>
  <c r="H121" i="3"/>
  <c r="D127" i="4" l="1"/>
  <c r="E123" i="3"/>
  <c r="G124" i="3" s="1"/>
  <c r="R121" i="3"/>
  <c r="E126" i="4"/>
  <c r="G127" i="4"/>
  <c r="H122" i="3"/>
  <c r="R122" i="3" l="1"/>
  <c r="E127" i="4"/>
  <c r="G128" i="4"/>
  <c r="H123" i="3"/>
  <c r="D128" i="4"/>
  <c r="E124" i="3"/>
  <c r="G125" i="3" s="1"/>
  <c r="R123" i="3" l="1"/>
  <c r="E128" i="4"/>
  <c r="D129" i="4"/>
  <c r="E125" i="3"/>
  <c r="G126" i="3" s="1"/>
  <c r="G129" i="4"/>
  <c r="H124" i="3"/>
  <c r="G130" i="4" l="1"/>
  <c r="H125" i="3"/>
  <c r="R124" i="3"/>
  <c r="E129" i="4"/>
  <c r="D130" i="4"/>
  <c r="E126" i="3"/>
  <c r="G127" i="3" s="1"/>
  <c r="D131" i="4" l="1"/>
  <c r="E127" i="3"/>
  <c r="G128" i="3" s="1"/>
  <c r="R125" i="3"/>
  <c r="E130" i="4"/>
  <c r="G131" i="4"/>
  <c r="H126" i="3"/>
  <c r="E131" i="4" l="1"/>
  <c r="R126" i="3"/>
  <c r="G132" i="4"/>
  <c r="H127" i="3"/>
  <c r="D132" i="4"/>
  <c r="E128" i="3"/>
  <c r="G129" i="3" s="1"/>
  <c r="R127" i="3" l="1"/>
  <c r="E132" i="4"/>
  <c r="D133" i="4"/>
  <c r="E129" i="3"/>
  <c r="G130" i="3" s="1"/>
  <c r="G133" i="4"/>
  <c r="H128" i="3"/>
  <c r="E133" i="4" l="1"/>
  <c r="R128" i="3"/>
  <c r="G134" i="4"/>
  <c r="H129" i="3"/>
  <c r="D134" i="4"/>
  <c r="E130" i="3"/>
  <c r="G131" i="3" s="1"/>
  <c r="R129" i="3" l="1"/>
  <c r="E134" i="4"/>
  <c r="D135" i="4"/>
  <c r="E131" i="3"/>
  <c r="G132" i="3" s="1"/>
  <c r="G135" i="4"/>
  <c r="H130" i="3"/>
  <c r="G136" i="4" l="1"/>
  <c r="H131" i="3"/>
  <c r="R130" i="3"/>
  <c r="E135" i="4"/>
  <c r="D136" i="4"/>
  <c r="E132" i="3"/>
  <c r="G133" i="3" s="1"/>
  <c r="D137" i="4" l="1"/>
  <c r="E133" i="3"/>
  <c r="G134" i="3" s="1"/>
  <c r="G137" i="4"/>
  <c r="H132" i="3"/>
  <c r="E136" i="4"/>
  <c r="R131" i="3"/>
  <c r="D138" i="4" l="1"/>
  <c r="E134" i="3"/>
  <c r="G135" i="3" s="1"/>
  <c r="G138" i="4"/>
  <c r="H133" i="3"/>
  <c r="R132" i="3"/>
  <c r="E137" i="4"/>
  <c r="D139" i="4" l="1"/>
  <c r="E135" i="3"/>
  <c r="G136" i="3" s="1"/>
  <c r="G139" i="4"/>
  <c r="H134" i="3"/>
  <c r="R133" i="3"/>
  <c r="E138" i="4"/>
  <c r="D140" i="4" l="1"/>
  <c r="E136" i="3"/>
  <c r="G137" i="3" s="1"/>
  <c r="G140" i="4"/>
  <c r="H135" i="3"/>
  <c r="E139" i="4"/>
  <c r="R134" i="3"/>
  <c r="D141" i="4" l="1"/>
  <c r="E137" i="3"/>
  <c r="G138" i="3" s="1"/>
  <c r="G141" i="4"/>
  <c r="H136" i="3"/>
  <c r="R135" i="3"/>
  <c r="E140" i="4"/>
  <c r="D142" i="4" l="1"/>
  <c r="E138" i="3"/>
  <c r="G139" i="3" s="1"/>
  <c r="G142" i="4"/>
  <c r="H137" i="3"/>
  <c r="R136" i="3"/>
  <c r="E141" i="4"/>
  <c r="D143" i="4" l="1"/>
  <c r="E139" i="3"/>
  <c r="G140" i="3" s="1"/>
  <c r="G143" i="4"/>
  <c r="H138" i="3"/>
  <c r="R137" i="3"/>
  <c r="E142" i="4"/>
  <c r="D144" i="4" l="1"/>
  <c r="E140" i="3"/>
  <c r="G141" i="3" s="1"/>
  <c r="G144" i="4"/>
  <c r="H139" i="3"/>
  <c r="R138" i="3"/>
  <c r="E143" i="4"/>
  <c r="D145" i="4" l="1"/>
  <c r="E141" i="3"/>
  <c r="G142" i="3" s="1"/>
  <c r="G145" i="4"/>
  <c r="H140" i="3"/>
  <c r="E144" i="4"/>
  <c r="R139" i="3"/>
  <c r="R140" i="3" l="1"/>
  <c r="E145" i="4"/>
  <c r="D146" i="4"/>
  <c r="E142" i="3"/>
  <c r="G143" i="3" s="1"/>
  <c r="G146" i="4"/>
  <c r="H141" i="3"/>
  <c r="G147" i="4" l="1"/>
  <c r="H142" i="3"/>
  <c r="R141" i="3"/>
  <c r="E146" i="4"/>
  <c r="D147" i="4"/>
  <c r="E143" i="3"/>
  <c r="G144" i="3" s="1"/>
  <c r="G148" i="4" l="1"/>
  <c r="H143" i="3"/>
  <c r="D148" i="4"/>
  <c r="E144" i="3"/>
  <c r="G145" i="3" s="1"/>
  <c r="R142" i="3"/>
  <c r="E147" i="4"/>
  <c r="G149" i="4" l="1"/>
  <c r="H144" i="3"/>
  <c r="E148" i="4"/>
  <c r="R143" i="3"/>
  <c r="D149" i="4"/>
  <c r="E145" i="3"/>
  <c r="G146" i="3" s="1"/>
  <c r="D150" i="4" l="1"/>
  <c r="E146" i="3"/>
  <c r="G147" i="3" s="1"/>
  <c r="R144" i="3"/>
  <c r="E149" i="4"/>
  <c r="G150" i="4"/>
  <c r="H145" i="3"/>
  <c r="R145" i="3" l="1"/>
  <c r="E150" i="4"/>
  <c r="D151" i="4"/>
  <c r="E147" i="3"/>
  <c r="G148" i="3" s="1"/>
  <c r="G151" i="4"/>
  <c r="H146" i="3"/>
  <c r="G152" i="4" l="1"/>
  <c r="H147" i="3"/>
  <c r="R146" i="3"/>
  <c r="E151" i="4"/>
  <c r="D152" i="4"/>
  <c r="E148" i="3"/>
  <c r="G149" i="3" s="1"/>
  <c r="D153" i="4" l="1"/>
  <c r="E149" i="3"/>
  <c r="G150" i="3" s="1"/>
  <c r="G153" i="4"/>
  <c r="H148" i="3"/>
  <c r="R147" i="3"/>
  <c r="E152" i="4"/>
  <c r="D154" i="4" l="1"/>
  <c r="E150" i="3"/>
  <c r="G151" i="3" s="1"/>
  <c r="R148" i="3"/>
  <c r="E153" i="4"/>
  <c r="G154" i="4"/>
  <c r="H149" i="3"/>
  <c r="R149" i="3" l="1"/>
  <c r="E154" i="4"/>
  <c r="G155" i="4"/>
  <c r="H150" i="3"/>
  <c r="D155" i="4"/>
  <c r="E151" i="3"/>
  <c r="G152" i="3" s="1"/>
  <c r="R150" i="3" l="1"/>
  <c r="E155" i="4"/>
  <c r="D156" i="4"/>
  <c r="E152" i="3"/>
  <c r="G153" i="3" s="1"/>
  <c r="G156" i="4"/>
  <c r="H151" i="3"/>
  <c r="G157" i="4" l="1"/>
  <c r="H152" i="3"/>
  <c r="R151" i="3"/>
  <c r="E156" i="4"/>
  <c r="D157" i="4"/>
  <c r="E153" i="3"/>
  <c r="G154" i="3" s="1"/>
  <c r="D158" i="4" l="1"/>
  <c r="E154" i="3"/>
  <c r="G155" i="3" s="1"/>
  <c r="R152" i="3"/>
  <c r="E157" i="4"/>
  <c r="G158" i="4"/>
  <c r="H153" i="3"/>
  <c r="R153" i="3" l="1"/>
  <c r="E158" i="4"/>
  <c r="G159" i="4"/>
  <c r="H154" i="3"/>
  <c r="D159" i="4"/>
  <c r="E155" i="3"/>
  <c r="G156" i="3" s="1"/>
  <c r="E159" i="4" l="1"/>
  <c r="R154" i="3"/>
  <c r="G160" i="4"/>
  <c r="H155" i="3"/>
  <c r="D160" i="4"/>
  <c r="E156" i="3"/>
  <c r="G157" i="3" s="1"/>
  <c r="R155" i="3" l="1"/>
  <c r="E160" i="4"/>
  <c r="D161" i="4"/>
  <c r="E157" i="3"/>
  <c r="G158" i="3" s="1"/>
  <c r="G161" i="4"/>
  <c r="H156" i="3"/>
  <c r="G162" i="4" l="1"/>
  <c r="H157" i="3"/>
  <c r="R156" i="3"/>
  <c r="E161" i="4"/>
  <c r="D162" i="4"/>
  <c r="E158" i="3"/>
  <c r="G159" i="3" s="1"/>
  <c r="D163" i="4" l="1"/>
  <c r="E159" i="3"/>
  <c r="G160" i="3" s="1"/>
  <c r="R157" i="3"/>
  <c r="E162" i="4"/>
  <c r="G163" i="4"/>
  <c r="H158" i="3"/>
  <c r="E163" i="4" l="1"/>
  <c r="R158" i="3"/>
  <c r="D164" i="4"/>
  <c r="E160" i="3"/>
  <c r="G161" i="3" s="1"/>
  <c r="G164" i="4"/>
  <c r="H159" i="3"/>
  <c r="G165" i="4" l="1"/>
  <c r="H160" i="3"/>
  <c r="R159" i="3"/>
  <c r="E164" i="4"/>
  <c r="D165" i="4"/>
  <c r="E161" i="3"/>
  <c r="G162" i="3" s="1"/>
  <c r="G166" i="4" l="1"/>
  <c r="H161" i="3"/>
  <c r="D166" i="4"/>
  <c r="E162" i="3"/>
  <c r="G163" i="3" s="1"/>
  <c r="R160" i="3"/>
  <c r="E165" i="4"/>
  <c r="G167" i="4" l="1"/>
  <c r="H162" i="3"/>
  <c r="R161" i="3"/>
  <c r="E166" i="4"/>
  <c r="D167" i="4"/>
  <c r="E163" i="3"/>
  <c r="G164" i="3" s="1"/>
  <c r="D168" i="4" l="1"/>
  <c r="E164" i="3"/>
  <c r="G165" i="3" s="1"/>
  <c r="G168" i="4"/>
  <c r="H163" i="3"/>
  <c r="R162" i="3"/>
  <c r="E167" i="4"/>
  <c r="D169" i="4" l="1"/>
  <c r="E165" i="3"/>
  <c r="G166" i="3" s="1"/>
  <c r="G169" i="4"/>
  <c r="H164" i="3"/>
  <c r="E168" i="4"/>
  <c r="R163" i="3"/>
  <c r="D170" i="4" l="1"/>
  <c r="E166" i="3"/>
  <c r="G167" i="3" s="1"/>
  <c r="R164" i="3"/>
  <c r="E169" i="4"/>
  <c r="G170" i="4"/>
  <c r="H165" i="3"/>
  <c r="R165" i="3" l="1"/>
  <c r="E170" i="4"/>
  <c r="D171" i="4"/>
  <c r="E167" i="3"/>
  <c r="G168" i="3" s="1"/>
  <c r="G171" i="4"/>
  <c r="H166" i="3"/>
  <c r="R166" i="3" l="1"/>
  <c r="E171" i="4"/>
  <c r="G172" i="4"/>
  <c r="H167" i="3"/>
  <c r="D172" i="4"/>
  <c r="E168" i="3"/>
  <c r="G169" i="3" s="1"/>
  <c r="R167" i="3" l="1"/>
  <c r="E172" i="4"/>
  <c r="D173" i="4"/>
  <c r="E169" i="3"/>
  <c r="G170" i="3" s="1"/>
  <c r="G173" i="4"/>
  <c r="H168" i="3"/>
  <c r="R168" i="3" l="1"/>
  <c r="E173" i="4"/>
  <c r="G174" i="4"/>
  <c r="H169" i="3"/>
  <c r="D174" i="4"/>
  <c r="E170" i="3"/>
  <c r="G171" i="3" s="1"/>
  <c r="G175" i="4" l="1"/>
  <c r="H170" i="3"/>
  <c r="E174" i="4"/>
  <c r="R169" i="3"/>
  <c r="D175" i="4"/>
  <c r="E171" i="3"/>
  <c r="G172" i="3" s="1"/>
  <c r="D176" i="4" l="1"/>
  <c r="E172" i="3"/>
  <c r="G173" i="3" s="1"/>
  <c r="G176" i="4"/>
  <c r="H171" i="3"/>
  <c r="R170" i="3"/>
  <c r="E175" i="4"/>
  <c r="D177" i="4" l="1"/>
  <c r="E173" i="3"/>
  <c r="G174" i="3" s="1"/>
  <c r="G177" i="4"/>
  <c r="H172" i="3"/>
  <c r="R171" i="3"/>
  <c r="E176" i="4"/>
  <c r="D178" i="4" l="1"/>
  <c r="E174" i="3"/>
  <c r="G175" i="3" s="1"/>
  <c r="G178" i="4"/>
  <c r="H173" i="3"/>
  <c r="R172" i="3"/>
  <c r="E177" i="4"/>
  <c r="D179" i="4" l="1"/>
  <c r="E175" i="3"/>
  <c r="G176" i="3" s="1"/>
  <c r="G179" i="4"/>
  <c r="H174" i="3"/>
  <c r="R173" i="3"/>
  <c r="E178" i="4"/>
  <c r="G180" i="4" l="1"/>
  <c r="H175" i="3"/>
  <c r="D180" i="4"/>
  <c r="E176" i="3"/>
  <c r="G177" i="3" s="1"/>
  <c r="R174" i="3"/>
  <c r="E179" i="4"/>
  <c r="G181" i="4" l="1"/>
  <c r="H176" i="3"/>
  <c r="E180" i="4"/>
  <c r="R175" i="3"/>
  <c r="D181" i="4"/>
  <c r="E177" i="3"/>
  <c r="G178" i="3" s="1"/>
  <c r="D182" i="4" l="1"/>
  <c r="E178" i="3"/>
  <c r="G179" i="3" s="1"/>
  <c r="E181" i="4"/>
  <c r="R176" i="3"/>
  <c r="G182" i="4"/>
  <c r="H177" i="3"/>
  <c r="R177" i="3" l="1"/>
  <c r="E182" i="4"/>
  <c r="G183" i="4"/>
  <c r="H178" i="3"/>
  <c r="D183" i="4"/>
  <c r="E179" i="3"/>
  <c r="G180" i="3" s="1"/>
  <c r="D184" i="4" l="1"/>
  <c r="E180" i="3"/>
  <c r="G181" i="3" s="1"/>
  <c r="E183" i="4"/>
  <c r="R178" i="3"/>
  <c r="G184" i="4"/>
  <c r="H179" i="3"/>
  <c r="E184" i="4" l="1"/>
  <c r="R179" i="3"/>
  <c r="D185" i="4"/>
  <c r="E181" i="3"/>
  <c r="G182" i="3" s="1"/>
  <c r="G185" i="4"/>
  <c r="H180" i="3"/>
  <c r="G186" i="4" l="1"/>
  <c r="H181" i="3"/>
  <c r="E185" i="4"/>
  <c r="R180" i="3"/>
  <c r="D186" i="4"/>
  <c r="E182" i="3"/>
  <c r="G183" i="3" s="1"/>
  <c r="D187" i="4" l="1"/>
  <c r="E183" i="3"/>
  <c r="G184" i="3" s="1"/>
  <c r="G187" i="4"/>
  <c r="H182" i="3"/>
  <c r="R181" i="3"/>
  <c r="E186" i="4"/>
  <c r="D188" i="4" l="1"/>
  <c r="E184" i="3"/>
  <c r="G185" i="3" s="1"/>
  <c r="G188" i="4"/>
  <c r="H183" i="3"/>
  <c r="R182" i="3"/>
  <c r="E187" i="4"/>
  <c r="D189" i="4" l="1"/>
  <c r="E185" i="3"/>
  <c r="G186" i="3" s="1"/>
  <c r="G189" i="4"/>
  <c r="H184" i="3"/>
  <c r="R183" i="3"/>
  <c r="E188" i="4"/>
  <c r="D190" i="4" l="1"/>
  <c r="E186" i="3"/>
  <c r="G187" i="3" s="1"/>
  <c r="G190" i="4"/>
  <c r="H185" i="3"/>
  <c r="R184" i="3"/>
  <c r="E189" i="4"/>
  <c r="R185" i="3" l="1"/>
  <c r="E190" i="4"/>
  <c r="D191" i="4"/>
  <c r="E187" i="3"/>
  <c r="G188" i="3" s="1"/>
  <c r="G191" i="4"/>
  <c r="H186" i="3"/>
  <c r="G192" i="4" l="1"/>
  <c r="H187" i="3"/>
  <c r="E191" i="4"/>
  <c r="R186" i="3"/>
  <c r="D192" i="4"/>
  <c r="E188" i="3"/>
  <c r="G189" i="3" s="1"/>
  <c r="D193" i="4" l="1"/>
  <c r="E189" i="3"/>
  <c r="G190" i="3" s="1"/>
  <c r="E192" i="4"/>
  <c r="R187" i="3"/>
  <c r="G193" i="4"/>
  <c r="H188" i="3"/>
  <c r="D194" i="4" l="1"/>
  <c r="E190" i="3"/>
  <c r="G191" i="3" s="1"/>
  <c r="G194" i="4"/>
  <c r="H189" i="3"/>
  <c r="R188" i="3"/>
  <c r="E193" i="4"/>
  <c r="E194" i="4" l="1"/>
  <c r="R189" i="3"/>
  <c r="D195" i="4"/>
  <c r="E191" i="3"/>
  <c r="G192" i="3" s="1"/>
  <c r="G195" i="4"/>
  <c r="H190" i="3"/>
  <c r="G196" i="4" l="1"/>
  <c r="H191" i="3"/>
  <c r="R190" i="3"/>
  <c r="E195" i="4"/>
  <c r="D196" i="4"/>
  <c r="E192" i="3"/>
  <c r="G193" i="3" s="1"/>
  <c r="D197" i="4" l="1"/>
  <c r="E193" i="3"/>
  <c r="G194" i="3" s="1"/>
  <c r="E196" i="4"/>
  <c r="R191" i="3"/>
  <c r="G197" i="4"/>
  <c r="H192" i="3"/>
  <c r="E197" i="4" l="1"/>
  <c r="R192" i="3"/>
  <c r="G198" i="4"/>
  <c r="H193" i="3"/>
  <c r="D198" i="4"/>
  <c r="E194" i="3"/>
  <c r="G195" i="3" s="1"/>
  <c r="R193" i="3" l="1"/>
  <c r="E198" i="4"/>
  <c r="D199" i="4"/>
  <c r="E195" i="3"/>
  <c r="G196" i="3" s="1"/>
  <c r="G199" i="4"/>
  <c r="H194" i="3"/>
  <c r="G200" i="4" l="1"/>
  <c r="H195" i="3"/>
  <c r="R194" i="3"/>
  <c r="E199" i="4"/>
  <c r="D200" i="4"/>
  <c r="E196" i="3"/>
  <c r="G197" i="3" s="1"/>
  <c r="D201" i="4" l="1"/>
  <c r="E197" i="3"/>
  <c r="G198" i="3" s="1"/>
  <c r="R195" i="3"/>
  <c r="E200" i="4"/>
  <c r="G201" i="4"/>
  <c r="H196" i="3"/>
  <c r="E201" i="4" l="1"/>
  <c r="R196" i="3"/>
  <c r="G202" i="4"/>
  <c r="H197" i="3"/>
  <c r="D202" i="4"/>
  <c r="E198" i="3"/>
  <c r="G199" i="3" s="1"/>
  <c r="R197" i="3" l="1"/>
  <c r="E202" i="4"/>
  <c r="D203" i="4"/>
  <c r="E199" i="3"/>
  <c r="G200" i="3" s="1"/>
  <c r="G203" i="4"/>
  <c r="H198" i="3"/>
  <c r="E203" i="4" l="1"/>
  <c r="R198" i="3"/>
  <c r="G204" i="4"/>
  <c r="H199" i="3"/>
  <c r="D204" i="4"/>
  <c r="E200" i="3"/>
  <c r="G201" i="3" s="1"/>
  <c r="R199" i="3" l="1"/>
  <c r="E204" i="4"/>
  <c r="G205" i="4"/>
  <c r="H200" i="3"/>
  <c r="D205" i="4"/>
  <c r="E201" i="3"/>
  <c r="G202" i="3" s="1"/>
  <c r="E205" i="4" l="1"/>
  <c r="R200" i="3"/>
  <c r="G206" i="4"/>
  <c r="H201" i="3"/>
  <c r="D206" i="4"/>
  <c r="E202" i="3"/>
  <c r="G203" i="3" s="1"/>
  <c r="E206" i="4" l="1"/>
  <c r="R201" i="3"/>
  <c r="D207" i="4"/>
  <c r="E203" i="3"/>
  <c r="G204" i="3" s="1"/>
  <c r="G207" i="4"/>
  <c r="H202" i="3"/>
  <c r="G208" i="4" l="1"/>
  <c r="H203" i="3"/>
  <c r="R202" i="3"/>
  <c r="E207" i="4"/>
  <c r="D208" i="4"/>
  <c r="E204" i="3"/>
  <c r="G205" i="3" s="1"/>
  <c r="D209" i="4" l="1"/>
  <c r="E205" i="3"/>
  <c r="G206" i="3" s="1"/>
  <c r="R203" i="3"/>
  <c r="E208" i="4"/>
  <c r="G209" i="4"/>
  <c r="H204" i="3"/>
  <c r="R204" i="3" l="1"/>
  <c r="E209" i="4"/>
  <c r="G210" i="4"/>
  <c r="H205" i="3"/>
  <c r="D210" i="4"/>
  <c r="E206" i="3"/>
  <c r="G207" i="3" s="1"/>
  <c r="R205" i="3" l="1"/>
  <c r="E210" i="4"/>
  <c r="D211" i="4"/>
  <c r="E207" i="3"/>
  <c r="G208" i="3" s="1"/>
  <c r="G211" i="4"/>
  <c r="H206" i="3"/>
  <c r="G212" i="4" l="1"/>
  <c r="H207" i="3"/>
  <c r="E211" i="4"/>
  <c r="R206" i="3"/>
  <c r="D212" i="4"/>
  <c r="E208" i="3"/>
  <c r="G209" i="3" s="1"/>
  <c r="D213" i="4" l="1"/>
  <c r="E209" i="3"/>
  <c r="G210" i="3" s="1"/>
  <c r="G213" i="4"/>
  <c r="H208" i="3"/>
  <c r="R207" i="3"/>
  <c r="E212" i="4"/>
  <c r="D214" i="4" l="1"/>
  <c r="E210" i="3"/>
  <c r="G211" i="3" s="1"/>
  <c r="G214" i="4"/>
  <c r="H209" i="3"/>
  <c r="R208" i="3"/>
  <c r="E213" i="4"/>
  <c r="D215" i="4" l="1"/>
  <c r="E211" i="3"/>
  <c r="G212" i="3" s="1"/>
  <c r="G215" i="4"/>
  <c r="H210" i="3"/>
  <c r="R209" i="3"/>
  <c r="E214" i="4"/>
  <c r="R210" i="3" l="1"/>
  <c r="E215" i="4"/>
  <c r="D216" i="4"/>
  <c r="E212" i="3"/>
  <c r="G213" i="3" s="1"/>
  <c r="G216" i="4"/>
  <c r="H211" i="3"/>
  <c r="D217" i="4" l="1"/>
  <c r="E213" i="3"/>
  <c r="G214" i="3" s="1"/>
  <c r="R211" i="3"/>
  <c r="E216" i="4"/>
  <c r="G217" i="4"/>
  <c r="H212" i="3"/>
  <c r="R212" i="3" l="1"/>
  <c r="E217" i="4"/>
  <c r="D218" i="4"/>
  <c r="E214" i="3"/>
  <c r="G215" i="3" s="1"/>
  <c r="G218" i="4"/>
  <c r="H213" i="3"/>
  <c r="G219" i="4" l="1"/>
  <c r="H214" i="3"/>
  <c r="R213" i="3"/>
  <c r="E218" i="4"/>
  <c r="D219" i="4"/>
  <c r="E215" i="3"/>
  <c r="G216" i="3" s="1"/>
  <c r="D220" i="4" l="1"/>
  <c r="E216" i="3"/>
  <c r="G217" i="3" s="1"/>
  <c r="G220" i="4"/>
  <c r="H215" i="3"/>
  <c r="R214" i="3"/>
  <c r="E219" i="4"/>
  <c r="D221" i="4" l="1"/>
  <c r="E217" i="3"/>
  <c r="G218" i="3" s="1"/>
  <c r="G221" i="4"/>
  <c r="H216" i="3"/>
  <c r="E220" i="4"/>
  <c r="R215" i="3"/>
  <c r="R216" i="3" l="1"/>
  <c r="E221" i="4"/>
  <c r="D222" i="4"/>
  <c r="E218" i="3"/>
  <c r="G219" i="3" s="1"/>
  <c r="G222" i="4"/>
  <c r="H217" i="3"/>
  <c r="E222" i="4" l="1"/>
  <c r="R217" i="3"/>
  <c r="G223" i="4"/>
  <c r="H218" i="3"/>
  <c r="D223" i="4"/>
  <c r="E219" i="3"/>
  <c r="G220" i="3" s="1"/>
  <c r="R218" i="3" l="1"/>
  <c r="E223" i="4"/>
  <c r="D224" i="4"/>
  <c r="E220" i="3"/>
  <c r="G221" i="3" s="1"/>
  <c r="G224" i="4"/>
  <c r="H219" i="3"/>
  <c r="G225" i="4" l="1"/>
  <c r="H220" i="3"/>
  <c r="R219" i="3"/>
  <c r="E224" i="4"/>
  <c r="D225" i="4"/>
  <c r="E221" i="3"/>
  <c r="G222" i="3" s="1"/>
  <c r="D226" i="4" l="1"/>
  <c r="E222" i="3"/>
  <c r="G223" i="3" s="1"/>
  <c r="G226" i="4"/>
  <c r="H221" i="3"/>
  <c r="E225" i="4"/>
  <c r="R220" i="3"/>
  <c r="D227" i="4" l="1"/>
  <c r="E223" i="3"/>
  <c r="G224" i="3" s="1"/>
  <c r="G227" i="4"/>
  <c r="H222" i="3"/>
  <c r="E226" i="4"/>
  <c r="R221" i="3"/>
  <c r="G228" i="4" l="1"/>
  <c r="H223" i="3"/>
  <c r="D228" i="4"/>
  <c r="E224" i="3"/>
  <c r="G225" i="3" s="1"/>
  <c r="R222" i="3"/>
  <c r="E227" i="4"/>
  <c r="G229" i="4" l="1"/>
  <c r="H224" i="3"/>
  <c r="R223" i="3"/>
  <c r="E228" i="4"/>
  <c r="D229" i="4"/>
  <c r="E225" i="3"/>
  <c r="G226" i="3" s="1"/>
  <c r="D230" i="4" l="1"/>
  <c r="E226" i="3"/>
  <c r="G227" i="3" s="1"/>
  <c r="E229" i="4"/>
  <c r="R224" i="3"/>
  <c r="G230" i="4"/>
  <c r="H225" i="3"/>
  <c r="D231" i="4" l="1"/>
  <c r="E227" i="3"/>
  <c r="G228" i="3" s="1"/>
  <c r="R225" i="3"/>
  <c r="E230" i="4"/>
  <c r="G231" i="4"/>
  <c r="H226" i="3"/>
  <c r="E228" i="3" l="1"/>
  <c r="G229" i="3" s="1"/>
  <c r="D232" i="4"/>
  <c r="R226" i="3"/>
  <c r="E231" i="4"/>
  <c r="G232" i="4"/>
  <c r="H227" i="3"/>
  <c r="R227" i="3" l="1"/>
  <c r="E232" i="4"/>
  <c r="G233" i="4"/>
  <c r="H228" i="3"/>
  <c r="D233" i="4"/>
  <c r="E229" i="3"/>
  <c r="G230" i="3" s="1"/>
  <c r="R228" i="3" l="1"/>
  <c r="E233" i="4"/>
  <c r="G234" i="4"/>
  <c r="H229" i="3"/>
  <c r="D234" i="4"/>
  <c r="E230" i="3"/>
  <c r="G231" i="3" s="1"/>
  <c r="R229" i="3" l="1"/>
  <c r="E234" i="4"/>
  <c r="G235" i="4"/>
  <c r="H230" i="3"/>
  <c r="D235" i="4"/>
  <c r="E231" i="3"/>
  <c r="G232" i="3" s="1"/>
  <c r="R230" i="3" l="1"/>
  <c r="E235" i="4"/>
  <c r="G236" i="4"/>
  <c r="H231" i="3"/>
  <c r="D236" i="4"/>
  <c r="E232" i="3"/>
  <c r="G233" i="3" s="1"/>
  <c r="E236" i="4" l="1"/>
  <c r="R231" i="3"/>
  <c r="G237" i="4"/>
  <c r="H232" i="3"/>
  <c r="D237" i="4"/>
  <c r="E233" i="3"/>
  <c r="G234" i="3" s="1"/>
  <c r="R232" i="3" l="1"/>
  <c r="E237" i="4"/>
  <c r="D238" i="4"/>
  <c r="E234" i="3"/>
  <c r="G235" i="3" s="1"/>
  <c r="G238" i="4"/>
  <c r="H233" i="3"/>
  <c r="E238" i="4" l="1"/>
  <c r="R233" i="3"/>
  <c r="G239" i="4"/>
  <c r="H234" i="3"/>
  <c r="D239" i="4"/>
  <c r="E235" i="3"/>
  <c r="G236" i="3" s="1"/>
  <c r="R234" i="3" l="1"/>
  <c r="E239" i="4"/>
  <c r="D240" i="4"/>
  <c r="E236" i="3"/>
  <c r="G237" i="3" s="1"/>
  <c r="G240" i="4"/>
  <c r="H235" i="3"/>
  <c r="E240" i="4" l="1"/>
  <c r="R235" i="3"/>
  <c r="G241" i="4"/>
  <c r="H236" i="3"/>
  <c r="D241" i="4"/>
  <c r="E237" i="3"/>
  <c r="G238" i="3" s="1"/>
  <c r="R236" i="3" l="1"/>
  <c r="E241" i="4"/>
  <c r="D242" i="4"/>
  <c r="E238" i="3"/>
  <c r="G239" i="3" s="1"/>
  <c r="G242" i="4"/>
  <c r="H237" i="3"/>
  <c r="G243" i="4" l="1"/>
  <c r="H238" i="3"/>
  <c r="R237" i="3"/>
  <c r="E242" i="4"/>
  <c r="D243" i="4"/>
  <c r="E239" i="3"/>
  <c r="G240" i="3" s="1"/>
  <c r="D244" i="4" l="1"/>
  <c r="E240" i="3"/>
  <c r="G241" i="3" s="1"/>
  <c r="E243" i="4"/>
  <c r="R238" i="3"/>
  <c r="G244" i="4"/>
  <c r="H239" i="3"/>
  <c r="D245" i="4" l="1"/>
  <c r="E241" i="3"/>
  <c r="G242" i="3" s="1"/>
  <c r="G245" i="4"/>
  <c r="H240" i="3"/>
  <c r="E244" i="4"/>
  <c r="R239" i="3"/>
  <c r="D246" i="4" l="1"/>
  <c r="E242" i="3"/>
  <c r="G243" i="3" s="1"/>
  <c r="G246" i="4"/>
  <c r="H241" i="3"/>
  <c r="R240" i="3"/>
  <c r="E245" i="4"/>
  <c r="R241" i="3" l="1"/>
  <c r="E246" i="4"/>
  <c r="D247" i="4"/>
  <c r="E243" i="3"/>
  <c r="G244" i="3" s="1"/>
  <c r="G247" i="4"/>
  <c r="H242" i="3"/>
  <c r="G248" i="4" l="1"/>
  <c r="H243" i="3"/>
  <c r="E247" i="4"/>
  <c r="R242" i="3"/>
  <c r="D248" i="4"/>
  <c r="E244" i="3"/>
  <c r="G245" i="3" s="1"/>
  <c r="D249" i="4" l="1"/>
  <c r="E245" i="3"/>
  <c r="G246" i="3" s="1"/>
  <c r="E248" i="4"/>
  <c r="R243" i="3"/>
  <c r="G249" i="4"/>
  <c r="H244" i="3"/>
  <c r="D250" i="4" l="1"/>
  <c r="E246" i="3"/>
  <c r="G247" i="3" s="1"/>
  <c r="R244" i="3"/>
  <c r="E249" i="4"/>
  <c r="G250" i="4"/>
  <c r="H245" i="3"/>
  <c r="R245" i="3" l="1"/>
  <c r="E250" i="4"/>
  <c r="D251" i="4"/>
  <c r="E247" i="3"/>
  <c r="G248" i="3" s="1"/>
  <c r="G251" i="4"/>
  <c r="H246" i="3"/>
  <c r="G252" i="4" l="1"/>
  <c r="H247" i="3"/>
  <c r="R246" i="3"/>
  <c r="E251" i="4"/>
  <c r="D252" i="4"/>
  <c r="E248" i="3"/>
  <c r="G249" i="3" s="1"/>
  <c r="D253" i="4" l="1"/>
  <c r="E249" i="3"/>
  <c r="G250" i="3" s="1"/>
  <c r="E252" i="4"/>
  <c r="R247" i="3"/>
  <c r="G253" i="4"/>
  <c r="H248" i="3"/>
  <c r="E253" i="4" l="1"/>
  <c r="R248" i="3"/>
  <c r="D254" i="4"/>
  <c r="E250" i="3"/>
  <c r="G251" i="3" s="1"/>
  <c r="G254" i="4"/>
  <c r="H249" i="3"/>
  <c r="G255" i="4" l="1"/>
  <c r="H250" i="3"/>
  <c r="E254" i="4"/>
  <c r="R249" i="3"/>
  <c r="D255" i="4"/>
  <c r="E251" i="3"/>
  <c r="G252" i="3" s="1"/>
  <c r="D256" i="4" l="1"/>
  <c r="E252" i="3"/>
  <c r="G253" i="3" s="1"/>
  <c r="R250" i="3"/>
  <c r="E255" i="4"/>
  <c r="G256" i="4"/>
  <c r="H251" i="3"/>
  <c r="G257" i="4" l="1"/>
  <c r="H252" i="3"/>
  <c r="R251" i="3"/>
  <c r="E256" i="4"/>
  <c r="D257" i="4"/>
  <c r="E253" i="3"/>
  <c r="G254" i="3" s="1"/>
  <c r="D258" i="4" l="1"/>
  <c r="E254" i="3"/>
  <c r="G255" i="3" s="1"/>
  <c r="R252" i="3"/>
  <c r="E257" i="4"/>
  <c r="G258" i="4"/>
  <c r="H253" i="3"/>
  <c r="G259" i="4" l="1"/>
  <c r="H254" i="3"/>
  <c r="E258" i="4"/>
  <c r="R253" i="3"/>
  <c r="D259" i="4"/>
  <c r="E255" i="3"/>
  <c r="G256" i="3" s="1"/>
  <c r="R254" i="3" l="1"/>
  <c r="E259" i="4"/>
  <c r="G260" i="4"/>
  <c r="H255" i="3"/>
  <c r="D260" i="4"/>
  <c r="E256" i="3"/>
  <c r="G257" i="3" s="1"/>
  <c r="R255" i="3" l="1"/>
  <c r="E260" i="4"/>
  <c r="D261" i="4"/>
  <c r="E257" i="3"/>
  <c r="G258" i="3" s="1"/>
  <c r="G261" i="4"/>
  <c r="H256" i="3"/>
  <c r="R256" i="3" l="1"/>
  <c r="E261" i="4"/>
  <c r="G262" i="4"/>
  <c r="H257" i="3"/>
  <c r="D262" i="4"/>
  <c r="E258" i="3"/>
  <c r="G259" i="3" s="1"/>
  <c r="E262" i="4" l="1"/>
  <c r="R257" i="3"/>
  <c r="D263" i="4"/>
  <c r="E259" i="3"/>
  <c r="G260" i="3" s="1"/>
  <c r="G263" i="4"/>
  <c r="H258" i="3"/>
  <c r="E263" i="4" l="1"/>
  <c r="R258" i="3"/>
  <c r="G264" i="4"/>
  <c r="H259" i="3"/>
  <c r="D264" i="4"/>
  <c r="E260" i="3"/>
  <c r="G261" i="3" s="1"/>
  <c r="E264" i="4" l="1"/>
  <c r="R259" i="3"/>
  <c r="G265" i="4"/>
  <c r="H260" i="3"/>
  <c r="D265" i="4"/>
  <c r="E261" i="3"/>
  <c r="G262" i="3" s="1"/>
  <c r="E265" i="4" l="1"/>
  <c r="R260" i="3"/>
  <c r="D266" i="4"/>
  <c r="E262" i="3"/>
  <c r="G263" i="3" s="1"/>
  <c r="G266" i="4"/>
  <c r="H261" i="3"/>
  <c r="D267" i="4" l="1"/>
  <c r="E263" i="3"/>
  <c r="G264" i="3" s="1"/>
  <c r="R261" i="3"/>
  <c r="E266" i="4"/>
  <c r="G267" i="4"/>
  <c r="H262" i="3"/>
  <c r="E267" i="4" l="1"/>
  <c r="R262" i="3"/>
  <c r="D268" i="4"/>
  <c r="E264" i="3"/>
  <c r="D269" i="4" s="1"/>
  <c r="G268" i="4"/>
  <c r="H263" i="3"/>
  <c r="R263" i="3" l="1"/>
  <c r="E268" i="4"/>
  <c r="G269" i="4"/>
  <c r="H264" i="3"/>
  <c r="G265" i="3"/>
  <c r="R264" i="3" l="1"/>
  <c r="P265" i="3" s="1"/>
  <c r="E269" i="4"/>
  <c r="H265" i="3"/>
  <c r="E270" i="4" s="1"/>
  <c r="G270" i="4"/>
  <c r="Q265" i="3"/>
  <c r="P270" i="4" s="1"/>
  <c r="B30" i="1" s="1"/>
  <c r="B29" i="1" s="1"/>
  <c r="O270" i="4" l="1"/>
  <c r="B31" i="1"/>
</calcChain>
</file>

<file path=xl/comments1.xml><?xml version="1.0" encoding="utf-8"?>
<comments xmlns="http://schemas.openxmlformats.org/spreadsheetml/2006/main">
  <authors>
    <author>Safonov Sergii Viktorovych</author>
    <author>Lashniev Georgii Sergiiovych</author>
  </authors>
  <commentList>
    <comment ref="N3" authorId="0" shapeId="0">
      <text>
        <r>
          <rPr>
            <b/>
            <sz val="8"/>
            <color indexed="81"/>
            <rFont val="Tahoma"/>
            <family val="2"/>
            <charset val="204"/>
          </rPr>
          <t>згідно кредитної програми</t>
        </r>
      </text>
    </comment>
    <comment ref="N7" authorId="0" shapeId="0">
      <text>
        <r>
          <rPr>
            <b/>
            <sz val="8"/>
            <color indexed="81"/>
            <rFont val="Tahoma"/>
            <family val="2"/>
            <charset val="204"/>
          </rPr>
          <t>витрати на нотаріуса</t>
        </r>
      </text>
    </comment>
    <comment ref="N8" authorId="1" shapeId="0">
      <text>
        <r>
          <rPr>
            <b/>
            <sz val="8"/>
            <color indexed="81"/>
            <rFont val="Tahoma"/>
            <family val="2"/>
            <charset val="204"/>
          </rPr>
          <t>згідно кредитної програми</t>
        </r>
      </text>
    </comment>
    <comment ref="O8" authorId="1" shapeId="0">
      <text>
        <r>
          <rPr>
            <b/>
            <sz val="8"/>
            <color indexed="81"/>
            <rFont val="Tahoma"/>
            <family val="2"/>
            <charset val="204"/>
          </rPr>
          <t>залежить від умов кредитування, страхової компанії, франшизи</t>
        </r>
      </text>
    </comment>
    <comment ref="F9" authorId="0" shapeId="0">
      <text>
        <r>
          <rPr>
            <b/>
            <sz val="8"/>
            <color indexed="81"/>
            <rFont val="Tahoma"/>
            <family val="2"/>
            <charset val="204"/>
          </rPr>
          <t>втановлюється Кредитором</t>
        </r>
      </text>
    </comment>
    <comment ref="N10" authorId="0" shapeId="0">
      <text>
        <r>
          <rPr>
            <b/>
            <sz val="8"/>
            <color indexed="81"/>
            <rFont val="Tahoma"/>
            <family val="2"/>
            <charset val="204"/>
          </rPr>
          <t>згідно обраного тарифу</t>
        </r>
      </text>
    </comment>
    <comment ref="N12" authorId="0" shapeId="0">
      <text>
        <r>
          <rPr>
            <b/>
            <sz val="8"/>
            <color indexed="81"/>
            <rFont val="Tahoma"/>
            <family val="2"/>
            <charset val="204"/>
          </rPr>
          <t>витрати на оцінку застави</t>
        </r>
      </text>
    </comment>
    <comment ref="N13" authorId="0" shapeId="0">
      <text>
        <r>
          <rPr>
            <b/>
            <sz val="8"/>
            <color indexed="81"/>
            <rFont val="Tahoma"/>
            <family val="2"/>
            <charset val="204"/>
          </rPr>
          <t>інші можливі додаткові витрати позичальнка</t>
        </r>
      </text>
    </comment>
    <comment ref="F16" authorId="0" shapeId="0">
      <text>
        <r>
          <rPr>
            <b/>
            <sz val="8"/>
            <color indexed="81"/>
            <rFont val="Tahoma"/>
            <family val="2"/>
            <charset val="204"/>
          </rPr>
          <t>згідно продукту</t>
        </r>
      </text>
    </comment>
  </commentList>
</comments>
</file>

<file path=xl/sharedStrings.xml><?xml version="1.0" encoding="utf-8"?>
<sst xmlns="http://schemas.openxmlformats.org/spreadsheetml/2006/main" count="194" uniqueCount="164">
  <si>
    <r>
      <t>1.</t>
    </r>
    <r>
      <rPr>
        <sz val="7"/>
        <color theme="1"/>
        <rFont val="Times New Roman"/>
        <family val="1"/>
        <charset val="204"/>
      </rPr>
      <t xml:space="preserve">        </t>
    </r>
    <r>
      <rPr>
        <b/>
        <sz val="9"/>
        <color theme="1"/>
        <rFont val="Times New Roman"/>
        <family val="1"/>
        <charset val="204"/>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</si>
  <si>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</si>
  <si>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Ліцензія/Свідоцтво</t>
  </si>
  <si>
    <t>Номер контактного телефону</t>
  </si>
  <si>
    <t>Адреса електронної пошти</t>
  </si>
  <si>
    <t>Адреса офіційного веб-сайту</t>
  </si>
  <si>
    <t>Тип кредиту</t>
  </si>
  <si>
    <t>Сума кредиту, грн.</t>
  </si>
  <si>
    <t>Мета отримання кредиту</t>
  </si>
  <si>
    <t>Спосіб та строк надання кредиту</t>
  </si>
  <si>
    <t>Можливі види (форми) забезпечення кредиту</t>
  </si>
  <si>
    <t>Необхідність проведення оцінки забезпечення кредиту</t>
  </si>
  <si>
    <t>ні</t>
  </si>
  <si>
    <t>Процентна ставка, відсотків річних</t>
  </si>
  <si>
    <t>Тип процентної ставки</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</si>
  <si>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</si>
  <si>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</si>
  <si>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Щомісячна комісія за обслуговування кредиту</t>
  </si>
  <si>
    <t>Розрахунково-касове обслуговування кредиту (річне/ щомісячне)</t>
  </si>
  <si>
    <t>Загальні витрати за кредитом, грн.</t>
  </si>
  <si>
    <t>Орієнтовна загальна вартість кредиту для споживача за весь строк користування кредитом (у т. ч. тіло кредиту, відсотки, комісії та інші платежі), грн.</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</si>
  <si>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</si>
  <si>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</si>
  <si>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</si>
  <si>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</si>
  <si>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Кількість та розмір платежів, періодичність внесення</t>
  </si>
  <si>
    <r>
      <t>Наслідки прострочення виконання та/або невиконання зобов'язань за договором про споживчий кредит:</t>
    </r>
    <r>
      <rPr>
        <sz val="8"/>
        <color theme="1"/>
        <rFont val="Calibri"/>
        <family val="2"/>
        <charset val="204"/>
        <scheme val="minor"/>
      </rPr>
      <t> </t>
    </r>
  </si>
  <si>
    <t>пеня</t>
  </si>
  <si>
    <t>Подвійна облікова ставка НБУ</t>
  </si>
  <si>
    <t>інші платежі</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</si>
  <si>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</si>
  <si>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</si>
  <si>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</si>
  <si>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</si>
  <si>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Підпис кредитодавця:</t>
  </si>
  <si>
    <t>_______________________П. І. Б., _________підпис</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</si>
  <si>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</si>
  <si>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</si>
  <si>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Підпис споживача:</t>
  </si>
  <si>
    <t xml:space="preserve">__ __ ____Дата, _____________П. І. Б., __________підпис. </t>
  </si>
  <si>
    <t>Дата</t>
  </si>
  <si>
    <t>Відсоткова ставка</t>
  </si>
  <si>
    <t>Строк кредиту, міс</t>
  </si>
  <si>
    <t>Сумма кредиту, грн</t>
  </si>
  <si>
    <t>Перший внесок, грн</t>
  </si>
  <si>
    <t>Вартість автомобіля, грн</t>
  </si>
  <si>
    <t>Перший внесок,%</t>
  </si>
  <si>
    <t>№</t>
  </si>
  <si>
    <t>Дата платежу</t>
  </si>
  <si>
    <t>Кіль-кість днів у звітньо-му періоді</t>
  </si>
  <si>
    <t>Залишок основного боргу для нарахування відсотків</t>
  </si>
  <si>
    <t>Реальна відсоткова ставка, %</t>
  </si>
  <si>
    <t>Погашення основної суми кредиту</t>
  </si>
  <si>
    <t>Орієнтовна сума відсотків</t>
  </si>
  <si>
    <t>Орієнтовна сума платежу за розрахунковий період</t>
  </si>
  <si>
    <t>Одноразова комісія за надання кредиту</t>
  </si>
  <si>
    <t>Одноразова комісія за надання кредиту, грн</t>
  </si>
  <si>
    <t>споживчий кредит</t>
  </si>
  <si>
    <t>Маржа</t>
  </si>
  <si>
    <t>Дата початку плаваючої ставки</t>
  </si>
  <si>
    <t>ПМ</t>
  </si>
  <si>
    <t>Сума кредиту</t>
  </si>
  <si>
    <t>Відсоток передплати</t>
  </si>
  <si>
    <t>Дата отримання кредиту</t>
  </si>
  <si>
    <t>Дата погашення кредиту</t>
  </si>
  <si>
    <t>Строк кредитування, місяців</t>
  </si>
  <si>
    <t xml:space="preserve">Погашенння основної суми кредиту: </t>
  </si>
  <si>
    <t>згідно графіку</t>
  </si>
  <si>
    <t>Погашення відсотків по кредиту:</t>
  </si>
  <si>
    <t>щомісячно</t>
  </si>
  <si>
    <t>Відсоткова ставка *:</t>
  </si>
  <si>
    <t>Діє з*</t>
  </si>
  <si>
    <t>% ставка*</t>
  </si>
  <si>
    <t>Маржа*</t>
  </si>
  <si>
    <t>Індекс*</t>
  </si>
  <si>
    <r>
      <t>Орієнтовна</t>
    </r>
    <r>
      <rPr>
        <b/>
        <sz val="9"/>
        <color indexed="8"/>
        <rFont val="Arial"/>
        <family val="2"/>
        <charset val="204"/>
      </rPr>
      <t xml:space="preserve"> сума платежу за розрахунковий період</t>
    </r>
  </si>
  <si>
    <t>В тому числі:</t>
  </si>
  <si>
    <t>Загальна вартість кредиту, грн</t>
  </si>
  <si>
    <t xml:space="preserve">Одноразова комісія за надання кредиту </t>
  </si>
  <si>
    <t>* даний розділ використовується в разі змінної ставки по кредиту</t>
  </si>
  <si>
    <t>кредит</t>
  </si>
  <si>
    <t>за власні кошти</t>
  </si>
  <si>
    <t>Таблиця обчислення орієнтовної вартості споживчого кредиту</t>
  </si>
  <si>
    <t>Комісія за надання кредиту, % від суми кредиту</t>
  </si>
  <si>
    <t xml:space="preserve">Безготівковим шляхом на поточний рахунок </t>
  </si>
  <si>
    <t>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</si>
  <si>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Загальна вартість кредиту, грн.</t>
  </si>
  <si>
    <t>Реальна річна процентна ставка, %</t>
  </si>
  <si>
    <t>так</t>
  </si>
  <si>
    <t>Фіксована</t>
  </si>
  <si>
    <t>Розрахунково-касове обслуговування, грн</t>
  </si>
  <si>
    <t>Вартість нерухомості, грн</t>
  </si>
  <si>
    <t>Одноразова комісія за надання кредиту, % від суми кредиту</t>
  </si>
  <si>
    <t>Вартість нерухості, грн</t>
  </si>
  <si>
    <t>Сума передплати, грн</t>
  </si>
  <si>
    <t>процентна ставка, яка застосовується при невиконанні зобов'язання згідно договору кредиту (за кожне порушеня)</t>
  </si>
  <si>
    <t>Діючий Індекс - 
 UIDR (12 міс у гривні)</t>
  </si>
  <si>
    <t>Строк кредитування</t>
  </si>
  <si>
    <t xml:space="preserve"> міс.</t>
  </si>
  <si>
    <t>Застереження: витрати на такі послуги можуть змінюватися протягом строку дії договору про споживчий кредит</t>
  </si>
  <si>
    <t>[якщо платежі за послуги кредитодавця, повязані з отриманням, обслуговуванням і поверненням кредиту, є періодичними]</t>
  </si>
  <si>
    <t>Платежі за послуги кредитного посередника, що підлягають сплаті споживачем, грн.*</t>
  </si>
  <si>
    <t>[зазначаються розмір платежу, база його розрахунку та умови його застосування]</t>
  </si>
  <si>
    <t>штрафи</t>
  </si>
  <si>
    <t>Надається у вигляді графіку платежів, у якому визначаються кількість, розмір платежів та періодичність їх внесення згідно Додатку 1 до договору споживчого кредиту "Таблиця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</si>
  <si>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Платежі за додаткові та супутні послуги третіх осіб, обов'язкові для укладення договору/отримання кредиту, грн:</t>
  </si>
  <si>
    <t>2. Посулуги оцінювача</t>
  </si>
  <si>
    <t>3. Послуга страховика</t>
  </si>
  <si>
    <t>4. Інші послуги третіх осіб</t>
  </si>
  <si>
    <t>Послуги третіх осіб</t>
  </si>
  <si>
    <t>Послуги нотаріуса</t>
  </si>
  <si>
    <t>Послуги оцінювача</t>
  </si>
  <si>
    <t>Послуги страховика</t>
  </si>
  <si>
    <t>Інші послуги третіх осіб</t>
  </si>
  <si>
    <t>Інші послуги банка</t>
  </si>
  <si>
    <t>Додаткові витрати, повязані з оформленням кредиту</t>
  </si>
  <si>
    <t>Послуги нотаріуса, грн</t>
  </si>
  <si>
    <t>Страхування застави (перший рік) %/грн</t>
  </si>
  <si>
    <t>Страхування застави (за весь строк),грн</t>
  </si>
  <si>
    <t>Страхування позичальника (перший рік),%/грн</t>
  </si>
  <si>
    <t>Страхування позичальника (весь строк),грн</t>
  </si>
  <si>
    <t>Послуги оцінювача, грн</t>
  </si>
  <si>
    <t>Інші послуги банку</t>
  </si>
  <si>
    <t>Розрахунково-касове обслуговування кредиту за весь строк кредиту, грн</t>
  </si>
  <si>
    <t>застава</t>
  </si>
  <si>
    <t>позичальник</t>
  </si>
  <si>
    <t>Грошовий потік</t>
  </si>
  <si>
    <t>Діючий Індекс - 
 UIRD у гривні за 12 місяців</t>
  </si>
  <si>
    <t>ставка</t>
  </si>
  <si>
    <t>Послуги третіх осіб:</t>
  </si>
  <si>
    <t>1. Послуги нотаріуса</t>
  </si>
  <si>
    <t>Дата закінчення договору</t>
  </si>
  <si>
    <t xml:space="preserve">Дата надання інформації: </t>
  </si>
  <si>
    <t>разово</t>
  </si>
  <si>
    <t>щорічно</t>
  </si>
  <si>
    <t>Кредитодавець має право залучати до врегулювання простроченої заборгованості колекторську компанію.</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</si>
  <si>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</si>
  <si>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</si>
  <si>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</si>
  <si>
    <t>ТОВ «ФК «ФІНЛАЙН»</t>
  </si>
  <si>
    <t>+38(068)-309-23-02</t>
  </si>
  <si>
    <t>fk_finline@ukr.net</t>
  </si>
  <si>
    <t>https://fin-line.com.ua</t>
  </si>
  <si>
    <t>Свідоцтво Національного банку України</t>
  </si>
  <si>
    <t xml:space="preserve"> ФК №0000095 від 09.12.2020</t>
  </si>
  <si>
    <t>застава, порука (рухоме/нерухоме майно, порука, майнові права)</t>
  </si>
  <si>
    <t>так (оцінка рухомого/нерухомого майна)</t>
  </si>
  <si>
    <t>* не заповнюється, у звязку з відсутністю кредитного посередника при наданні Компанією кредиту</t>
  </si>
  <si>
    <t>Тарифи Компанії та третіх осіб:</t>
  </si>
  <si>
    <t>Одноразова комісія Компанії за надання кредиту від початкової суми кредиту</t>
  </si>
  <si>
    <t>Місцезнаходження кредитодавця</t>
  </si>
  <si>
    <t>Додаток 1 до договору кредиту №_____ від___________р.</t>
  </si>
  <si>
    <t>Ця інформація зберігає чинність та є актуальною до :</t>
  </si>
  <si>
    <t>Розмір власного платежу (фінансової участі) споживача за умови отримання кредиту на придбання нерухомості</t>
  </si>
  <si>
    <t xml:space="preserve"> +1% річних до діючої річної ставки по кредиту</t>
  </si>
  <si>
    <t>Інші послуги на користь Конпанії</t>
  </si>
  <si>
    <t>2. Основні умови кредитування з урахуванням побажань споживача</t>
  </si>
  <si>
    <t>3. Інформація щодо орієнтовної реальної річної процентної ставки та орієнтовної загальної вартості кредиту для споживача</t>
  </si>
  <si>
    <t>4. Порядок повернення кредиту</t>
  </si>
  <si>
    <t>5. Додаткова інформація</t>
  </si>
  <si>
    <t>6. Інші важливі правові аспекти</t>
  </si>
  <si>
    <t>кредит на купівлю нерухомості/під заставу іпотеки/майнових прав на предмет нерухомості</t>
  </si>
  <si>
    <t xml:space="preserve">01032, місто Київ, вул.Саксаганського, будинок 119, офіс 28              </t>
  </si>
  <si>
    <t>* Заповнити ЖОВТІ комірки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</si>
</sst>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0.00\ &quot;₽&quot;;[Red]\-#,##0.00\ &quot;₽&quot;"/>
    <numFmt numFmtId="164" formatCode="_-* #,##0.00_р_._-;\-* #,##0.00_р_._-;_-* &quot;-&quot;??_р_._-;_-@_-"/>
    <numFmt numFmtId="165" formatCode="#,##0.00\ [$грн.-422]"/>
    <numFmt numFmtId="166" formatCode="#,##0.00&quot;р.&quot;;[Red]\-#,##0.00&quot;р.&quot;"/>
    <numFmt numFmtId="167" formatCode="0.0%"/>
  </numFmts>
  <fonts count="41"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7"/>
      <color theme="1"/>
      <name val="Times New Roman"/>
      <family val="1"/>
      <charset val="204"/>
    </font>
    <font>
      <b/>
      <sz val="9"/>
      <color theme="1"/>
      <name val="Times New Roman"/>
      <family val="1"/>
      <charset val="204"/>
    </font>
    <font>
      <sz val="8"/>
      <color theme="1"/>
      <name val="Calibri"/>
      <family val="2"/>
      <charset val="204"/>
      <scheme val="minor"/>
    </font>
    <font>
      <sz val="14"/>
      <name val="Arial Cyr"/>
      <charset val="204"/>
    </font>
    <font>
      <sz val="10"/>
      <color indexed="8"/>
      <name val="Arial"/>
      <family val="2"/>
      <charset val="204"/>
    </font>
    <font>
      <sz val="9"/>
      <color theme="1"/>
      <name val="Calibri"/>
      <family val="2"/>
      <charset val="204"/>
      <scheme val="minor"/>
    </font>
    <font>
      <b/>
      <sz val="9"/>
      <color theme="1"/>
      <name val="Calibri"/>
      <family val="2"/>
      <charset val="204"/>
      <scheme val="minor"/>
    </font>
    <font>
      <sz val="11"/>
      <color theme="0"/>
      <name val="Calibri"/>
      <family val="2"/>
      <charset val="204"/>
      <scheme val="minor"/>
    </font>
    <font>
      <b/>
      <sz val="11"/>
      <color theme="1"/>
      <name val="Times New Roman"/>
      <family val="1"/>
      <charset val="204"/>
    </font>
    <font>
      <b/>
      <sz val="10"/>
      <color indexed="8"/>
      <name val="Arial"/>
      <family val="2"/>
      <charset val="204"/>
    </font>
    <font>
      <b/>
      <sz val="10"/>
      <name val="Arial"/>
      <family val="2"/>
      <charset val="204"/>
    </font>
    <font>
      <b/>
      <sz val="10"/>
      <color theme="0"/>
      <name val="Arial"/>
      <family val="2"/>
      <charset val="204"/>
    </font>
    <font>
      <sz val="10"/>
      <name val="Arial Cyr"/>
      <charset val="204"/>
    </font>
    <font>
      <sz val="10"/>
      <name val="Arial"/>
      <family val="2"/>
      <charset val="204"/>
    </font>
    <font>
      <b/>
      <sz val="10"/>
      <color rgb="FFFF0000"/>
      <name val="Arial"/>
      <family val="2"/>
      <charset val="204"/>
    </font>
    <font>
      <i/>
      <sz val="10"/>
      <color indexed="8"/>
      <name val="Arial"/>
      <family val="2"/>
      <charset val="204"/>
    </font>
    <font>
      <sz val="10"/>
      <color theme="1"/>
      <name val="Arial"/>
      <family val="2"/>
      <charset val="204"/>
    </font>
    <font>
      <b/>
      <sz val="9"/>
      <color indexed="8"/>
      <name val="Arial"/>
      <family val="2"/>
      <charset val="204"/>
    </font>
    <font>
      <b/>
      <sz val="9"/>
      <name val="Arial"/>
      <family val="2"/>
      <charset val="204"/>
    </font>
    <font>
      <i/>
      <sz val="9"/>
      <color indexed="8"/>
      <name val="Arial"/>
      <family val="2"/>
      <charset val="204"/>
    </font>
    <font>
      <i/>
      <sz val="9"/>
      <name val="Arial Cyr"/>
      <charset val="204"/>
    </font>
    <font>
      <i/>
      <sz val="9"/>
      <color theme="0"/>
      <name val="Arial"/>
      <family val="2"/>
      <charset val="204"/>
    </font>
    <font>
      <sz val="10"/>
      <color theme="0"/>
      <name val="Arial"/>
      <family val="2"/>
      <charset val="204"/>
    </font>
    <font>
      <sz val="9"/>
      <color theme="0"/>
      <name val="Calibri"/>
      <family val="2"/>
      <charset val="204"/>
      <scheme val="minor"/>
    </font>
    <font>
      <b/>
      <sz val="9"/>
      <color indexed="8"/>
      <name val="Arial Cyr"/>
      <charset val="204"/>
    </font>
    <font>
      <sz val="9"/>
      <name val="Times New Roman"/>
      <family val="1"/>
      <charset val="204"/>
    </font>
    <font>
      <sz val="11"/>
      <name val="Calibri"/>
      <family val="2"/>
      <charset val="204"/>
      <scheme val="minor"/>
    </font>
    <font>
      <b/>
      <sz val="8"/>
      <color indexed="81"/>
      <name val="Tahoma"/>
      <family val="2"/>
      <charset val="204"/>
    </font>
    <font>
      <sz val="9"/>
      <color indexed="8"/>
      <name val="Arial Cyr"/>
      <family val="2"/>
      <charset val="204"/>
    </font>
    <font>
      <i/>
      <sz val="9"/>
      <name val="Arial"/>
      <family val="2"/>
      <charset val="204"/>
    </font>
    <font>
      <b/>
      <sz val="11"/>
      <name val="Calibri"/>
      <family val="2"/>
      <charset val="204"/>
      <scheme val="minor"/>
    </font>
    <font>
      <sz val="9"/>
      <color theme="0"/>
      <name val="Times New Roman"/>
      <family val="1"/>
      <charset val="204"/>
    </font>
    <font>
      <u/>
      <sz val="11"/>
      <color theme="10"/>
      <name val="Calibri"/>
      <family val="2"/>
      <charset val="204"/>
      <scheme val="minor"/>
    </font>
    <font>
      <sz val="11"/>
      <name val="Times New Roman"/>
      <family val="1"/>
      <charset val="204"/>
    </font>
    <font>
      <b/>
      <sz val="18"/>
      <color theme="1"/>
      <name val="Calibri"/>
      <family val="2"/>
      <charset val="204"/>
      <scheme val="minor"/>
    </font>
    <font>
      <b/>
      <sz val="14"/>
      <color theme="1"/>
      <name val="Times New Roman"/>
      <family val="1"/>
      <charset val="204"/>
    </font>
    <font>
      <sz val="9"/>
      <name val="Calibri"/>
      <family val="2"/>
      <charset val="204"/>
      <scheme val="minor"/>
    </font>
    <font>
      <b/>
      <i/>
      <sz val="11"/>
      <color rgb="FFFF0000"/>
      <name val="Calibri"/>
      <family val="2"/>
      <charset val="204"/>
      <scheme val="minor"/>
    </font>
  </fonts>
  <fills count="7">
    <fill>
      <patternFill patternType="none"/>
    </fill>
    <fill>
      <patternFill patternType="gray125"/>
    </fill>
    <fill>
      <patternFill patternType="solid">
        <fgColor theme="0"/>
        <bgColor indexed="64"/>
      </patternFill>
    </fill>
    <fill>
      <patternFill patternType="solid">
        <fgColor theme="0" tint="-0.249977111117893"/>
        <bgColor indexed="31"/>
      </patternFill>
    </fill>
    <fill>
      <patternFill patternType="solid">
        <fgColor theme="3" tint="0.59999389629810485"/>
        <bgColor indexed="64"/>
      </patternFill>
    </fill>
    <fill>
      <patternFill patternType="solid">
        <fgColor rgb="FFFFFF00"/>
        <bgColor indexed="64"/>
      </patternFill>
    </fill>
    <fill>
      <patternFill patternType="solid">
        <fgColor rgb="FF92D050"/>
        <bgColor indexed="64"/>
      </patternFill>
    </fill>
  </fills>
  <borders count="5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8"/>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theme="0"/>
      </bottom>
      <diagonal/>
    </border>
    <border>
      <left style="thin">
        <color theme="0"/>
      </left>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8"/>
      </left>
      <right style="thin">
        <color indexed="8"/>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8"/>
      </right>
      <top style="thin">
        <color theme="1"/>
      </top>
      <bottom/>
      <diagonal/>
    </border>
    <border>
      <left style="medium">
        <color indexed="64"/>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thin">
        <color theme="1"/>
      </left>
      <right style="thin">
        <color theme="0"/>
      </right>
      <top style="thin">
        <color theme="1"/>
      </top>
      <bottom style="thin">
        <color theme="1"/>
      </bottom>
      <diagonal/>
    </border>
    <border>
      <left style="thin">
        <color theme="1"/>
      </left>
      <right/>
      <top/>
      <bottom/>
      <diagonal/>
    </border>
    <border>
      <left style="thin">
        <color theme="0"/>
      </left>
      <right/>
      <top style="thin">
        <color theme="1"/>
      </top>
      <bottom style="thin">
        <color theme="1"/>
      </bottom>
      <diagonal/>
    </border>
    <border>
      <left style="thin">
        <color theme="3" tint="0.39997558519241921"/>
      </left>
      <right/>
      <top/>
      <bottom style="thin">
        <color theme="3" tint="0.39997558519241921"/>
      </bottom>
      <diagonal/>
    </border>
    <border>
      <left style="thin">
        <color indexed="8"/>
      </left>
      <right style="thin">
        <color indexed="8"/>
      </right>
      <top style="thin">
        <color indexed="64"/>
      </top>
      <bottom/>
      <diagonal/>
    </border>
    <border>
      <left style="thin">
        <color indexed="8"/>
      </left>
      <right/>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style="medium">
        <color indexed="8"/>
      </left>
      <right style="thin">
        <color indexed="8"/>
      </right>
      <top style="thin">
        <color indexed="64"/>
      </top>
      <bottom/>
      <diagonal/>
    </border>
    <border>
      <left style="medium">
        <color indexed="8"/>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s>
  <cellStyleXfs count="5">
    <xf numFmtId="0" fontId="0" fillId="0" borderId="0"/>
    <xf numFmtId="0" fontId="6" fillId="0" borderId="0"/>
    <xf numFmtId="9" fontId="6" fillId="0" borderId="0" applyFont="0" applyFill="0" applyBorder="0" applyAlignment="0" applyProtection="0"/>
    <xf numFmtId="164" fontId="6" fillId="0" borderId="0" applyFont="0" applyFill="0" applyBorder="0" applyAlignment="0" applyProtection="0"/>
    <xf numFmtId="0" fontId="35" fillId="0" borderId="0" applyNumberFormat="0" applyFill="0" applyBorder="0" applyAlignment="0" applyProtection="0"/>
  </cellStyleXfs>
  <cellXfs count="296">
    <xf numFmtId="0" fontId="0" fillId="0" borderId="0" xfId="0"/>
    <xf numFmtId="0" fontId="8" fillId="0" borderId="0" xfId="0" applyFont="1" applyAlignment="1" applyProtection="1">
      <alignment horizontal="left" wrapText="1"/>
      <protection hidden="1"/>
    </xf>
    <xf numFmtId="0" fontId="8" fillId="0" borderId="0" xfId="0" applyFont="1" applyAlignment="1" applyProtection="1">
      <alignment wrapText="1"/>
      <protection hidden="1"/>
    </xf>
    <xf numFmtId="0" fontId="8" fillId="2" borderId="0" xfId="0" applyFont="1" applyFill="1" applyAlignment="1" applyProtection="1">
      <alignment wrapText="1"/>
      <protection hidden="1"/>
    </xf>
    <xf numFmtId="0" fontId="8" fillId="2" borderId="0" xfId="0" applyFont="1" applyFill="1" applyAlignment="1" applyProtection="1">
      <alignment horizontal="left" wrapText="1"/>
      <protection hidden="1"/>
    </xf>
    <xf numFmtId="0" fontId="8" fillId="0" borderId="0" xfId="0" applyFont="1" applyFill="1" applyAlignment="1" applyProtection="1">
      <alignment horizontal="left" wrapText="1"/>
      <protection hidden="1"/>
    </xf>
    <xf numFmtId="0" fontId="7" fillId="0" borderId="0" xfId="1" applyFont="1" applyAlignment="1" applyProtection="1">
      <alignment vertical="center"/>
      <protection hidden="1"/>
    </xf>
    <xf numFmtId="14" fontId="13" fillId="0" borderId="0" xfId="1" applyNumberFormat="1" applyFont="1" applyProtection="1">
      <protection hidden="1"/>
    </xf>
    <xf numFmtId="0" fontId="13" fillId="0" borderId="0" xfId="1" applyFont="1" applyFill="1" applyBorder="1" applyAlignment="1" applyProtection="1">
      <alignment horizontal="right"/>
      <protection hidden="1"/>
    </xf>
    <xf numFmtId="14" fontId="14" fillId="0" borderId="0" xfId="1" applyNumberFormat="1" applyFont="1" applyFill="1" applyBorder="1" applyProtection="1">
      <protection hidden="1"/>
    </xf>
    <xf numFmtId="0" fontId="7" fillId="2" borderId="0" xfId="1" applyFont="1" applyFill="1" applyAlignment="1" applyProtection="1">
      <alignment horizontal="left"/>
      <protection hidden="1"/>
    </xf>
    <xf numFmtId="0" fontId="15" fillId="2" borderId="0" xfId="1" applyFont="1" applyFill="1" applyAlignment="1" applyProtection="1">
      <alignment horizontal="left" vertical="center"/>
      <protection hidden="1"/>
    </xf>
    <xf numFmtId="0" fontId="13" fillId="0" borderId="0" xfId="1" applyFont="1" applyProtection="1">
      <protection hidden="1"/>
    </xf>
    <xf numFmtId="0" fontId="14" fillId="0" borderId="0" xfId="1" applyFont="1" applyFill="1" applyBorder="1" applyProtection="1">
      <protection hidden="1"/>
    </xf>
    <xf numFmtId="0" fontId="14" fillId="0" borderId="0" xfId="1" applyFont="1" applyProtection="1">
      <protection hidden="1"/>
    </xf>
    <xf numFmtId="166" fontId="7" fillId="0" borderId="0" xfId="1" applyNumberFormat="1" applyFont="1" applyProtection="1">
      <protection hidden="1"/>
    </xf>
    <xf numFmtId="0" fontId="17" fillId="2" borderId="10" xfId="1" applyFont="1" applyFill="1" applyBorder="1" applyAlignment="1" applyProtection="1">
      <alignment horizontal="center" vertical="center" wrapText="1"/>
      <protection hidden="1"/>
    </xf>
    <xf numFmtId="0" fontId="17" fillId="2" borderId="10" xfId="1" applyFont="1" applyFill="1" applyBorder="1" applyAlignment="1" applyProtection="1">
      <alignment horizontal="center" vertical="center"/>
      <protection hidden="1"/>
    </xf>
    <xf numFmtId="0" fontId="12" fillId="0" borderId="0" xfId="1" applyFont="1" applyFill="1" applyBorder="1" applyAlignment="1" applyProtection="1">
      <alignment horizontal="right"/>
      <protection hidden="1"/>
    </xf>
    <xf numFmtId="0" fontId="7" fillId="0" borderId="0" xfId="1" applyFont="1" applyProtection="1">
      <protection hidden="1"/>
    </xf>
    <xf numFmtId="0" fontId="7" fillId="0" borderId="0" xfId="1" applyFont="1" applyFill="1" applyBorder="1" applyProtection="1">
      <protection hidden="1"/>
    </xf>
    <xf numFmtId="0" fontId="18" fillId="0" borderId="0" xfId="1" applyFont="1" applyProtection="1">
      <protection hidden="1"/>
    </xf>
    <xf numFmtId="0" fontId="12" fillId="0" borderId="0" xfId="1" applyFont="1" applyProtection="1">
      <protection hidden="1"/>
    </xf>
    <xf numFmtId="0" fontId="19" fillId="0" borderId="0" xfId="0" applyFont="1" applyAlignment="1" applyProtection="1">
      <alignment horizontal="left" wrapText="1"/>
      <protection hidden="1"/>
    </xf>
    <xf numFmtId="0" fontId="16" fillId="0" borderId="0" xfId="1" applyFont="1" applyAlignment="1" applyProtection="1">
      <alignment horizontal="right"/>
      <protection hidden="1"/>
    </xf>
    <xf numFmtId="0" fontId="16" fillId="0" borderId="0" xfId="1" applyFont="1" applyBorder="1" applyAlignment="1" applyProtection="1">
      <alignment horizontal="right"/>
      <protection hidden="1"/>
    </xf>
    <xf numFmtId="0" fontId="7" fillId="0" borderId="16" xfId="1" applyFont="1" applyBorder="1" applyAlignment="1" applyProtection="1">
      <alignment horizontal="center" wrapText="1"/>
      <protection hidden="1"/>
    </xf>
    <xf numFmtId="0" fontId="7" fillId="0" borderId="14" xfId="1" applyFont="1" applyBorder="1" applyAlignment="1" applyProtection="1">
      <alignment horizontal="center" wrapText="1"/>
      <protection hidden="1"/>
    </xf>
    <xf numFmtId="0" fontId="12" fillId="0" borderId="14" xfId="1" applyFont="1" applyBorder="1" applyAlignment="1" applyProtection="1">
      <alignment horizontal="center" wrapText="1"/>
      <protection hidden="1"/>
    </xf>
    <xf numFmtId="0" fontId="22" fillId="2" borderId="10" xfId="1" applyFont="1" applyFill="1" applyBorder="1" applyProtection="1">
      <protection hidden="1"/>
    </xf>
    <xf numFmtId="14" fontId="23" fillId="2" borderId="10" xfId="1" applyNumberFormat="1" applyFont="1" applyFill="1" applyBorder="1" applyAlignment="1" applyProtection="1">
      <alignment horizontal="center"/>
      <protection hidden="1"/>
    </xf>
    <xf numFmtId="0" fontId="23" fillId="2" borderId="10" xfId="1" applyNumberFormat="1" applyFont="1" applyFill="1" applyBorder="1" applyAlignment="1" applyProtection="1">
      <alignment horizontal="center"/>
      <protection hidden="1"/>
    </xf>
    <xf numFmtId="165" fontId="22" fillId="2" borderId="10" xfId="1" applyNumberFormat="1" applyFont="1" applyFill="1" applyBorder="1" applyAlignment="1" applyProtection="1">
      <alignment horizontal="center" vertical="center"/>
      <protection hidden="1"/>
    </xf>
    <xf numFmtId="165" fontId="22" fillId="2" borderId="10" xfId="1" applyNumberFormat="1" applyFont="1" applyFill="1" applyBorder="1" applyAlignment="1" applyProtection="1">
      <alignment horizontal="center" vertical="center" wrapText="1"/>
      <protection hidden="1"/>
    </xf>
    <xf numFmtId="165" fontId="24" fillId="2" borderId="10" xfId="1" applyNumberFormat="1" applyFont="1" applyFill="1" applyBorder="1" applyAlignment="1" applyProtection="1">
      <alignment horizontal="center" vertical="center" wrapText="1"/>
      <protection hidden="1"/>
    </xf>
    <xf numFmtId="10" fontId="24" fillId="2" borderId="10" xfId="1" applyNumberFormat="1" applyFont="1" applyFill="1" applyBorder="1" applyAlignment="1" applyProtection="1">
      <alignment horizontal="center" vertical="center" wrapText="1"/>
      <protection hidden="1"/>
    </xf>
    <xf numFmtId="167" fontId="22" fillId="2" borderId="10" xfId="1" applyNumberFormat="1" applyFont="1" applyFill="1" applyBorder="1" applyAlignment="1" applyProtection="1">
      <alignment horizontal="center" vertical="center" wrapText="1"/>
      <protection hidden="1"/>
    </xf>
    <xf numFmtId="0" fontId="25" fillId="0" borderId="0" xfId="1" applyFont="1" applyFill="1" applyAlignment="1" applyProtection="1">
      <alignment vertical="center"/>
      <protection hidden="1"/>
    </xf>
    <xf numFmtId="0" fontId="8" fillId="2" borderId="26" xfId="0" applyFont="1" applyFill="1" applyBorder="1" applyAlignment="1" applyProtection="1">
      <alignment horizontal="left" wrapText="1"/>
      <protection hidden="1"/>
    </xf>
    <xf numFmtId="0" fontId="8" fillId="2" borderId="0" xfId="0" applyFont="1" applyFill="1" applyBorder="1" applyAlignment="1" applyProtection="1">
      <alignment horizontal="left" wrapText="1"/>
      <protection hidden="1"/>
    </xf>
    <xf numFmtId="0" fontId="8" fillId="2" borderId="0" xfId="0" applyFont="1" applyFill="1" applyBorder="1" applyAlignment="1" applyProtection="1">
      <alignment wrapText="1"/>
      <protection hidden="1"/>
    </xf>
    <xf numFmtId="10" fontId="17" fillId="2" borderId="10" xfId="1" applyNumberFormat="1" applyFont="1" applyFill="1" applyBorder="1" applyAlignment="1" applyProtection="1">
      <alignment horizontal="center" vertical="center" wrapText="1"/>
      <protection hidden="1"/>
    </xf>
    <xf numFmtId="10" fontId="17" fillId="2" borderId="10" xfId="1" applyNumberFormat="1" applyFont="1" applyFill="1" applyBorder="1" applyAlignment="1" applyProtection="1">
      <alignment horizontal="center" vertical="center"/>
      <protection hidden="1"/>
    </xf>
    <xf numFmtId="0" fontId="25" fillId="0" borderId="0" xfId="1" applyFont="1" applyFill="1" applyBorder="1" applyAlignment="1" applyProtection="1">
      <alignment vertical="center"/>
      <protection hidden="1"/>
    </xf>
    <xf numFmtId="0" fontId="26" fillId="2" borderId="27" xfId="0" applyFont="1" applyFill="1" applyBorder="1" applyAlignment="1" applyProtection="1">
      <alignment wrapText="1"/>
      <protection hidden="1"/>
    </xf>
    <xf numFmtId="0" fontId="26" fillId="2" borderId="0" xfId="0" applyFont="1" applyFill="1" applyBorder="1" applyAlignment="1" applyProtection="1">
      <alignment wrapText="1"/>
      <protection hidden="1"/>
    </xf>
    <xf numFmtId="0" fontId="16" fillId="0" borderId="0" xfId="1" applyFont="1" applyFill="1" applyAlignment="1" applyProtection="1">
      <alignment vertical="center"/>
      <protection hidden="1"/>
    </xf>
    <xf numFmtId="0" fontId="20" fillId="3" borderId="18" xfId="1" applyFont="1" applyFill="1" applyBorder="1" applyAlignment="1" applyProtection="1">
      <alignment horizontal="center" vertical="center" wrapText="1"/>
      <protection hidden="1"/>
    </xf>
    <xf numFmtId="0" fontId="0" fillId="0" borderId="0" xfId="0" applyFont="1" applyFill="1" applyBorder="1" applyAlignment="1" applyProtection="1">
      <alignment horizontal="left" wrapText="1"/>
      <protection hidden="1"/>
    </xf>
    <xf numFmtId="0" fontId="9" fillId="4" borderId="25" xfId="0" applyFont="1" applyFill="1" applyBorder="1" applyAlignment="1" applyProtection="1">
      <alignment vertical="center" wrapText="1"/>
      <protection hidden="1"/>
    </xf>
    <xf numFmtId="0" fontId="31" fillId="3" borderId="24" xfId="1" applyFont="1" applyFill="1" applyBorder="1" applyAlignment="1" applyProtection="1">
      <alignment horizontal="center" vertical="center" wrapText="1"/>
      <protection hidden="1"/>
    </xf>
    <xf numFmtId="0" fontId="31" fillId="3" borderId="15" xfId="1" applyFont="1" applyFill="1" applyBorder="1" applyAlignment="1" applyProtection="1">
      <alignment horizontal="center" vertical="center" wrapText="1"/>
      <protection hidden="1"/>
    </xf>
    <xf numFmtId="0" fontId="20" fillId="3" borderId="43" xfId="1" applyFont="1" applyFill="1" applyBorder="1" applyAlignment="1" applyProtection="1">
      <alignment horizontal="center" vertical="center" wrapText="1"/>
      <protection hidden="1"/>
    </xf>
    <xf numFmtId="165" fontId="32" fillId="2" borderId="10" xfId="1" applyNumberFormat="1" applyFont="1" applyFill="1" applyBorder="1" applyAlignment="1" applyProtection="1">
      <alignment horizontal="center" vertical="center" wrapText="1"/>
      <protection hidden="1"/>
    </xf>
    <xf numFmtId="4" fontId="24" fillId="2" borderId="10" xfId="1" applyNumberFormat="1" applyFont="1" applyFill="1" applyBorder="1" applyAlignment="1" applyProtection="1">
      <alignment horizontal="center" vertical="center" wrapText="1"/>
      <protection hidden="1"/>
    </xf>
    <xf numFmtId="4" fontId="32" fillId="2" borderId="10" xfId="1" applyNumberFormat="1" applyFont="1" applyFill="1" applyBorder="1" applyAlignment="1" applyProtection="1">
      <alignment horizontal="center" vertical="center" wrapText="1"/>
      <protection hidden="1"/>
    </xf>
    <xf numFmtId="0" fontId="8" fillId="0" borderId="10" xfId="0" applyFont="1" applyFill="1" applyBorder="1" applyAlignment="1" applyProtection="1">
      <alignment horizontal="center" wrapText="1"/>
      <protection hidden="1"/>
    </xf>
    <xf numFmtId="10" fontId="8" fillId="0" borderId="10" xfId="0" applyNumberFormat="1" applyFont="1" applyBorder="1" applyAlignment="1" applyProtection="1">
      <alignment horizontal="center" wrapText="1"/>
      <protection hidden="1"/>
    </xf>
    <xf numFmtId="4" fontId="8" fillId="0" borderId="10" xfId="0" applyNumberFormat="1" applyFont="1" applyBorder="1" applyAlignment="1" applyProtection="1">
      <alignment horizontal="center" wrapText="1"/>
      <protection hidden="1"/>
    </xf>
    <xf numFmtId="0" fontId="9" fillId="6" borderId="28" xfId="0" applyFont="1" applyFill="1" applyBorder="1" applyAlignment="1" applyProtection="1">
      <alignment horizontal="center" vertical="center" wrapText="1"/>
      <protection hidden="1"/>
    </xf>
    <xf numFmtId="0" fontId="9" fillId="6" borderId="14" xfId="0" applyFont="1" applyFill="1" applyBorder="1" applyAlignment="1" applyProtection="1">
      <alignment horizontal="center" vertical="center" wrapText="1"/>
      <protection hidden="1"/>
    </xf>
    <xf numFmtId="0" fontId="1" fillId="4" borderId="13" xfId="0" applyFont="1" applyFill="1" applyBorder="1" applyAlignment="1" applyProtection="1">
      <alignment vertical="center" wrapText="1"/>
      <protection hidden="1"/>
    </xf>
    <xf numFmtId="4" fontId="0" fillId="5" borderId="10" xfId="0" applyNumberFormat="1" applyFill="1" applyBorder="1" applyProtection="1">
      <protection locked="0"/>
    </xf>
    <xf numFmtId="0" fontId="0" fillId="5" borderId="10" xfId="0" applyFill="1" applyBorder="1" applyProtection="1">
      <protection locked="0"/>
    </xf>
    <xf numFmtId="0" fontId="39" fillId="2" borderId="0" xfId="0" applyFont="1" applyFill="1" applyBorder="1" applyAlignment="1" applyProtection="1">
      <alignment wrapText="1"/>
      <protection hidden="1"/>
    </xf>
    <xf numFmtId="0" fontId="39" fillId="2" borderId="0" xfId="0" applyFont="1" applyFill="1" applyBorder="1" applyAlignment="1" applyProtection="1">
      <alignment horizontal="left" wrapText="1"/>
      <protection hidden="1"/>
    </xf>
    <xf numFmtId="0" fontId="39" fillId="2" borderId="0" xfId="0" applyFont="1" applyFill="1" applyAlignment="1" applyProtection="1">
      <alignment horizontal="left" wrapText="1"/>
      <protection hidden="1"/>
    </xf>
    <xf numFmtId="0" fontId="39" fillId="2" borderId="0" xfId="0" applyFont="1" applyFill="1" applyAlignment="1" applyProtection="1">
      <alignment wrapText="1"/>
      <protection hidden="1"/>
    </xf>
    <xf numFmtId="0" fontId="0" fillId="6" borderId="11" xfId="0" applyFont="1" applyFill="1" applyBorder="1" applyAlignment="1" applyProtection="1">
      <alignment wrapText="1"/>
      <protection hidden="1"/>
    </xf>
    <xf numFmtId="0" fontId="0" fillId="6" borderId="24" xfId="0" applyFont="1" applyFill="1" applyBorder="1" applyAlignment="1" applyProtection="1">
      <alignment wrapText="1"/>
      <protection hidden="1"/>
    </xf>
    <xf numFmtId="0" fontId="0" fillId="6" borderId="15" xfId="0" applyFont="1" applyFill="1" applyBorder="1" applyAlignment="1" applyProtection="1">
      <alignment wrapText="1"/>
      <protection hidden="1"/>
    </xf>
    <xf numFmtId="0" fontId="9" fillId="6" borderId="23" xfId="0" applyFont="1" applyFill="1" applyBorder="1" applyAlignment="1" applyProtection="1">
      <alignment horizontal="center" vertical="center" wrapText="1"/>
      <protection hidden="1"/>
    </xf>
    <xf numFmtId="0" fontId="9" fillId="4" borderId="13" xfId="0" applyFont="1" applyFill="1" applyBorder="1" applyAlignment="1" applyProtection="1">
      <alignment horizontal="center" vertical="center" wrapText="1"/>
      <protection hidden="1"/>
    </xf>
    <xf numFmtId="0" fontId="9" fillId="4" borderId="23" xfId="0" applyFont="1" applyFill="1" applyBorder="1" applyAlignment="1" applyProtection="1">
      <alignment horizontal="center" vertical="center" wrapText="1"/>
      <protection hidden="1"/>
    </xf>
    <xf numFmtId="0" fontId="9" fillId="6" borderId="11" xfId="0" applyFont="1" applyFill="1" applyBorder="1" applyAlignment="1" applyProtection="1">
      <alignment horizontal="center" vertical="center" wrapText="1"/>
      <protection hidden="1"/>
    </xf>
    <xf numFmtId="0" fontId="9" fillId="6" borderId="24" xfId="0" applyFont="1" applyFill="1" applyBorder="1" applyAlignment="1" applyProtection="1">
      <alignment horizontal="center" vertical="center" wrapText="1"/>
      <protection hidden="1"/>
    </xf>
    <xf numFmtId="0" fontId="9" fillId="6" borderId="15" xfId="0" applyFont="1" applyFill="1" applyBorder="1" applyAlignment="1" applyProtection="1">
      <alignment horizontal="center" vertical="center" wrapText="1"/>
      <protection hidden="1"/>
    </xf>
    <xf numFmtId="0" fontId="9" fillId="6" borderId="13" xfId="0" applyFont="1" applyFill="1" applyBorder="1" applyAlignment="1" applyProtection="1">
      <alignment horizontal="center" vertical="center" wrapText="1"/>
      <protection hidden="1"/>
    </xf>
    <xf numFmtId="0" fontId="9" fillId="6" borderId="23" xfId="0" applyFont="1" applyFill="1" applyBorder="1" applyAlignment="1" applyProtection="1">
      <alignment horizontal="center" vertical="center" wrapText="1"/>
      <protection hidden="1"/>
    </xf>
    <xf numFmtId="0" fontId="1" fillId="4" borderId="10" xfId="0" applyFont="1" applyFill="1" applyBorder="1" applyAlignment="1" applyProtection="1">
      <alignment horizontal="left" vertical="center" wrapText="1"/>
      <protection hidden="1"/>
    </xf>
    <xf numFmtId="0" fontId="20" fillId="3" borderId="13" xfId="1" applyFont="1" applyFill="1" applyBorder="1" applyAlignment="1" applyProtection="1">
      <alignment horizontal="center" vertical="center" wrapText="1"/>
      <protection hidden="1"/>
    </xf>
    <xf numFmtId="0" fontId="20" fillId="3" borderId="25" xfId="1" applyFont="1" applyFill="1" applyBorder="1" applyAlignment="1" applyProtection="1">
      <alignment horizontal="center" vertical="center" wrapText="1"/>
      <protection hidden="1"/>
    </xf>
    <xf numFmtId="0" fontId="20" fillId="3" borderId="49" xfId="1" applyFont="1" applyFill="1" applyBorder="1" applyAlignment="1" applyProtection="1">
      <alignment horizontal="center" vertical="center" wrapText="1"/>
      <protection hidden="1"/>
    </xf>
    <xf numFmtId="0" fontId="20" fillId="3" borderId="17" xfId="1" applyFont="1" applyFill="1" applyBorder="1" applyAlignment="1" applyProtection="1">
      <alignment horizontal="center" vertical="center" wrapText="1"/>
      <protection hidden="1"/>
    </xf>
    <xf numFmtId="0" fontId="20" fillId="3" borderId="50" xfId="1" applyFont="1" applyFill="1" applyBorder="1" applyAlignment="1" applyProtection="1">
      <alignment horizontal="center" vertical="center" wrapText="1"/>
      <protection hidden="1"/>
    </xf>
    <xf numFmtId="0" fontId="20" fillId="3" borderId="42" xfId="1" applyFont="1" applyFill="1" applyBorder="1" applyAlignment="1" applyProtection="1">
      <alignment horizontal="center" vertical="center" wrapText="1"/>
      <protection hidden="1"/>
    </xf>
    <xf numFmtId="0" fontId="20" fillId="3" borderId="19" xfId="1" applyFont="1" applyFill="1" applyBorder="1" applyAlignment="1" applyProtection="1">
      <alignment horizontal="center" vertical="center" wrapText="1"/>
      <protection hidden="1"/>
    </xf>
    <xf numFmtId="0" fontId="20" fillId="3" borderId="31" xfId="1" applyFont="1" applyFill="1" applyBorder="1" applyAlignment="1" applyProtection="1">
      <alignment horizontal="center" vertical="center" wrapText="1"/>
      <protection hidden="1"/>
    </xf>
    <xf numFmtId="0" fontId="20" fillId="3" borderId="20" xfId="1" applyFont="1" applyFill="1" applyBorder="1" applyAlignment="1" applyProtection="1">
      <alignment horizontal="center" vertical="center" wrapText="1"/>
      <protection hidden="1"/>
    </xf>
    <xf numFmtId="0" fontId="20" fillId="3" borderId="34" xfId="1" applyFont="1" applyFill="1" applyBorder="1" applyAlignment="1" applyProtection="1">
      <alignment horizontal="center" vertical="center" wrapText="1"/>
      <protection hidden="1"/>
    </xf>
    <xf numFmtId="0" fontId="31" fillId="3" borderId="11" xfId="1" applyFont="1" applyFill="1" applyBorder="1" applyAlignment="1" applyProtection="1">
      <alignment horizontal="left" vertical="center" wrapText="1"/>
      <protection hidden="1"/>
    </xf>
    <xf numFmtId="0" fontId="31" fillId="3" borderId="24" xfId="1" applyFont="1" applyFill="1" applyBorder="1" applyAlignment="1" applyProtection="1">
      <alignment horizontal="left" vertical="center" wrapText="1"/>
      <protection hidden="1"/>
    </xf>
    <xf numFmtId="0" fontId="20" fillId="3" borderId="28" xfId="1" applyFont="1" applyFill="1" applyBorder="1" applyAlignment="1" applyProtection="1">
      <alignment horizontal="center" vertical="center" wrapText="1"/>
      <protection hidden="1"/>
    </xf>
    <xf numFmtId="0" fontId="20" fillId="3" borderId="0" xfId="1" applyFont="1" applyFill="1" applyBorder="1" applyAlignment="1" applyProtection="1">
      <alignment horizontal="center" vertical="center" wrapText="1"/>
      <protection hidden="1"/>
    </xf>
    <xf numFmtId="0" fontId="21" fillId="3" borderId="42" xfId="1" applyFont="1" applyFill="1" applyBorder="1" applyAlignment="1" applyProtection="1">
      <alignment horizontal="center" vertical="center" wrapText="1"/>
      <protection hidden="1"/>
    </xf>
    <xf numFmtId="0" fontId="21" fillId="3" borderId="19" xfId="1" applyFont="1" applyFill="1" applyBorder="1" applyAlignment="1" applyProtection="1">
      <alignment horizontal="center" vertical="center" wrapText="1"/>
      <protection hidden="1"/>
    </xf>
    <xf numFmtId="0" fontId="21" fillId="3" borderId="31" xfId="1" applyFont="1" applyFill="1" applyBorder="1" applyAlignment="1" applyProtection="1">
      <alignment horizontal="center" vertical="center" wrapText="1"/>
      <protection hidden="1"/>
    </xf>
    <xf numFmtId="3" fontId="16" fillId="2" borderId="11" xfId="1" applyNumberFormat="1" applyFont="1" applyFill="1" applyBorder="1" applyAlignment="1" applyProtection="1">
      <alignment horizontal="left" vertical="center"/>
      <protection hidden="1"/>
    </xf>
    <xf numFmtId="3" fontId="16" fillId="2" borderId="15" xfId="1" applyNumberFormat="1" applyFont="1" applyFill="1" applyBorder="1" applyAlignment="1" applyProtection="1">
      <alignment horizontal="left" vertical="center"/>
      <protection hidden="1"/>
    </xf>
    <xf numFmtId="0" fontId="7" fillId="2" borderId="11" xfId="1" applyFont="1" applyFill="1" applyBorder="1" applyAlignment="1" applyProtection="1">
      <alignment horizontal="left"/>
      <protection hidden="1"/>
    </xf>
    <xf numFmtId="0" fontId="7" fillId="2" borderId="15" xfId="1" applyFont="1" applyFill="1" applyBorder="1" applyAlignment="1" applyProtection="1">
      <alignment horizontal="left"/>
      <protection hidden="1"/>
    </xf>
    <xf numFmtId="0" fontId="17" fillId="2" borderId="14" xfId="1" applyFont="1" applyFill="1" applyBorder="1" applyAlignment="1" applyProtection="1">
      <alignment horizontal="left" wrapText="1"/>
      <protection hidden="1"/>
    </xf>
    <xf numFmtId="0" fontId="17" fillId="2" borderId="11" xfId="1" applyFont="1" applyFill="1" applyBorder="1" applyAlignment="1" applyProtection="1">
      <alignment horizontal="center" vertical="center" wrapText="1"/>
      <protection hidden="1"/>
    </xf>
    <xf numFmtId="0" fontId="17" fillId="2" borderId="15" xfId="1" applyFont="1" applyFill="1" applyBorder="1" applyAlignment="1" applyProtection="1">
      <alignment horizontal="center" vertical="center" wrapText="1"/>
      <protection hidden="1"/>
    </xf>
    <xf numFmtId="0" fontId="27" fillId="3" borderId="32" xfId="1" applyFont="1" applyFill="1" applyBorder="1" applyAlignment="1" applyProtection="1">
      <alignment horizontal="left" vertical="center" wrapText="1"/>
      <protection hidden="1"/>
    </xf>
    <xf numFmtId="0" fontId="27" fillId="3" borderId="28" xfId="1" applyFont="1" applyFill="1" applyBorder="1" applyAlignment="1" applyProtection="1">
      <alignment horizontal="left" vertical="center" wrapText="1"/>
      <protection hidden="1"/>
    </xf>
    <xf numFmtId="0" fontId="27" fillId="3" borderId="33" xfId="1" applyFont="1" applyFill="1" applyBorder="1" applyAlignment="1" applyProtection="1">
      <alignment horizontal="left" vertical="center" wrapText="1"/>
      <protection hidden="1"/>
    </xf>
    <xf numFmtId="0" fontId="20" fillId="3" borderId="51" xfId="1" applyFont="1" applyFill="1" applyBorder="1" applyAlignment="1" applyProtection="1">
      <alignment horizontal="center" vertical="center" wrapText="1"/>
      <protection hidden="1"/>
    </xf>
    <xf numFmtId="0" fontId="20" fillId="3" borderId="52" xfId="1" applyFont="1" applyFill="1" applyBorder="1" applyAlignment="1" applyProtection="1">
      <alignment horizontal="center" vertical="center" wrapText="1"/>
      <protection hidden="1"/>
    </xf>
    <xf numFmtId="0" fontId="20" fillId="3" borderId="53" xfId="1" applyFont="1" applyFill="1" applyBorder="1" applyAlignment="1" applyProtection="1">
      <alignment horizontal="center" vertical="center" wrapText="1"/>
      <protection hidden="1"/>
    </xf>
    <xf numFmtId="0" fontId="20" fillId="3" borderId="23" xfId="1" applyFont="1" applyFill="1" applyBorder="1" applyAlignment="1" applyProtection="1">
      <alignment horizontal="center" vertical="center" wrapText="1"/>
      <protection hidden="1"/>
    </xf>
    <xf numFmtId="165" fontId="7" fillId="2" borderId="46" xfId="1" applyNumberFormat="1" applyFont="1" applyFill="1" applyBorder="1" applyAlignment="1" applyProtection="1">
      <alignment horizontal="left" vertical="center"/>
      <protection hidden="1"/>
    </xf>
    <xf numFmtId="165" fontId="7" fillId="2" borderId="47" xfId="1" applyNumberFormat="1" applyFont="1" applyFill="1" applyBorder="1" applyAlignment="1" applyProtection="1">
      <alignment horizontal="left" vertical="center"/>
      <protection hidden="1"/>
    </xf>
    <xf numFmtId="10" fontId="7" fillId="2" borderId="44" xfId="1" applyNumberFormat="1" applyFont="1" applyFill="1" applyBorder="1" applyAlignment="1" applyProtection="1">
      <alignment horizontal="left" vertical="center"/>
      <protection hidden="1"/>
    </xf>
    <xf numFmtId="10" fontId="7" fillId="2" borderId="45" xfId="1" applyNumberFormat="1" applyFont="1" applyFill="1" applyBorder="1" applyAlignment="1" applyProtection="1">
      <alignment horizontal="left" vertical="center"/>
      <protection hidden="1"/>
    </xf>
    <xf numFmtId="14" fontId="17" fillId="2" borderId="11" xfId="1" applyNumberFormat="1" applyFont="1" applyFill="1" applyBorder="1" applyAlignment="1" applyProtection="1">
      <alignment horizontal="center" vertical="center" wrapText="1"/>
      <protection hidden="1"/>
    </xf>
    <xf numFmtId="14" fontId="17" fillId="2" borderId="15" xfId="1" applyNumberFormat="1" applyFont="1" applyFill="1" applyBorder="1" applyAlignment="1" applyProtection="1">
      <alignment horizontal="center" vertical="center" wrapText="1"/>
      <protection hidden="1"/>
    </xf>
    <xf numFmtId="0" fontId="37" fillId="2" borderId="0" xfId="0" applyFont="1" applyFill="1" applyAlignment="1" applyProtection="1">
      <alignment horizontal="center"/>
      <protection hidden="1"/>
    </xf>
    <xf numFmtId="0" fontId="1" fillId="2" borderId="0" xfId="0" applyFont="1" applyFill="1" applyAlignment="1" applyProtection="1">
      <alignment horizontal="center"/>
      <protection hidden="1"/>
    </xf>
    <xf numFmtId="0" fontId="0" fillId="0" borderId="0" xfId="0" applyProtection="1">
      <protection hidden="1"/>
    </xf>
    <xf numFmtId="0" fontId="0" fillId="2" borderId="0" xfId="0" applyFill="1" applyProtection="1">
      <protection hidden="1"/>
    </xf>
    <xf numFmtId="0" fontId="0" fillId="2" borderId="0" xfId="0" applyFill="1" applyBorder="1" applyProtection="1">
      <protection hidden="1"/>
    </xf>
    <xf numFmtId="0" fontId="1" fillId="2" borderId="0" xfId="0" applyFont="1" applyFill="1" applyProtection="1">
      <protection hidden="1"/>
    </xf>
    <xf numFmtId="4" fontId="0" fillId="0" borderId="0" xfId="0" applyNumberFormat="1" applyProtection="1">
      <protection hidden="1"/>
    </xf>
    <xf numFmtId="0" fontId="0" fillId="0" borderId="10" xfId="0" applyFont="1" applyFill="1" applyBorder="1" applyProtection="1">
      <protection hidden="1"/>
    </xf>
    <xf numFmtId="14" fontId="10" fillId="2" borderId="10" xfId="0" applyNumberFormat="1" applyFont="1" applyFill="1" applyBorder="1" applyProtection="1">
      <protection hidden="1"/>
    </xf>
    <xf numFmtId="0" fontId="0" fillId="2" borderId="10" xfId="0" applyFill="1" applyBorder="1" applyProtection="1">
      <protection hidden="1"/>
    </xf>
    <xf numFmtId="14" fontId="0" fillId="2" borderId="10" xfId="0" applyNumberFormat="1" applyFill="1" applyBorder="1" applyProtection="1">
      <protection hidden="1"/>
    </xf>
    <xf numFmtId="0" fontId="1" fillId="2" borderId="0" xfId="0" applyFont="1" applyFill="1" applyBorder="1" applyProtection="1">
      <protection hidden="1"/>
    </xf>
    <xf numFmtId="0" fontId="29" fillId="6" borderId="10" xfId="0" applyFont="1" applyFill="1" applyBorder="1" applyAlignment="1" applyProtection="1">
      <alignment horizontal="left"/>
      <protection hidden="1"/>
    </xf>
    <xf numFmtId="10" fontId="0" fillId="2" borderId="10" xfId="0" applyNumberFormat="1" applyFill="1" applyBorder="1" applyAlignment="1" applyProtection="1">
      <alignment horizontal="center"/>
      <protection hidden="1"/>
    </xf>
    <xf numFmtId="10" fontId="10" fillId="2" borderId="0" xfId="0" applyNumberFormat="1" applyFont="1" applyFill="1" applyProtection="1">
      <protection hidden="1"/>
    </xf>
    <xf numFmtId="0" fontId="29" fillId="0" borderId="0" xfId="0" applyFont="1" applyProtection="1">
      <protection hidden="1"/>
    </xf>
    <xf numFmtId="4" fontId="29" fillId="0" borderId="0" xfId="0" applyNumberFormat="1" applyFont="1" applyProtection="1">
      <protection hidden="1"/>
    </xf>
    <xf numFmtId="4" fontId="10" fillId="2" borderId="10" xfId="0" applyNumberFormat="1" applyFont="1" applyFill="1" applyBorder="1" applyProtection="1">
      <protection hidden="1"/>
    </xf>
    <xf numFmtId="0" fontId="0" fillId="6" borderId="10" xfId="0" applyFont="1" applyFill="1" applyBorder="1" applyAlignment="1" applyProtection="1">
      <alignment horizontal="left"/>
      <protection hidden="1"/>
    </xf>
    <xf numFmtId="4" fontId="0" fillId="2" borderId="10" xfId="0" applyNumberFormat="1" applyFill="1" applyBorder="1" applyAlignment="1" applyProtection="1">
      <alignment horizontal="center"/>
      <protection hidden="1"/>
    </xf>
    <xf numFmtId="4" fontId="10" fillId="2" borderId="0" xfId="0" applyNumberFormat="1" applyFont="1" applyFill="1" applyProtection="1">
      <protection hidden="1"/>
    </xf>
    <xf numFmtId="0" fontId="1" fillId="2" borderId="0" xfId="0" applyFont="1" applyFill="1" applyBorder="1" applyAlignment="1" applyProtection="1">
      <alignment wrapText="1"/>
      <protection hidden="1"/>
    </xf>
    <xf numFmtId="0" fontId="0" fillId="6" borderId="41" xfId="0" applyFont="1" applyFill="1" applyBorder="1" applyAlignment="1" applyProtection="1">
      <protection hidden="1"/>
    </xf>
    <xf numFmtId="0" fontId="0" fillId="6" borderId="0" xfId="0" applyFont="1" applyFill="1" applyBorder="1" applyAlignment="1" applyProtection="1">
      <protection hidden="1"/>
    </xf>
    <xf numFmtId="10" fontId="10" fillId="2" borderId="10" xfId="0" applyNumberFormat="1" applyFont="1" applyFill="1" applyBorder="1" applyProtection="1">
      <protection hidden="1"/>
    </xf>
    <xf numFmtId="10" fontId="0" fillId="2" borderId="10" xfId="0" applyNumberFormat="1" applyFill="1" applyBorder="1" applyProtection="1">
      <protection hidden="1"/>
    </xf>
    <xf numFmtId="0" fontId="7" fillId="2" borderId="0" xfId="1" applyFont="1" applyFill="1" applyBorder="1" applyAlignment="1" applyProtection="1">
      <alignment horizontal="left"/>
      <protection hidden="1"/>
    </xf>
    <xf numFmtId="0" fontId="1" fillId="0" borderId="10" xfId="0" applyFont="1" applyFill="1" applyBorder="1" applyAlignment="1" applyProtection="1">
      <alignment wrapText="1"/>
      <protection hidden="1"/>
    </xf>
    <xf numFmtId="0" fontId="10" fillId="2" borderId="0" xfId="0" applyFont="1" applyFill="1" applyProtection="1">
      <protection hidden="1"/>
    </xf>
    <xf numFmtId="4" fontId="0" fillId="2" borderId="10" xfId="0" applyNumberFormat="1" applyFill="1" applyBorder="1" applyProtection="1">
      <protection hidden="1"/>
    </xf>
    <xf numFmtId="0" fontId="0" fillId="4" borderId="11" xfId="0" applyFill="1" applyBorder="1" applyAlignment="1" applyProtection="1">
      <protection hidden="1"/>
    </xf>
    <xf numFmtId="0" fontId="0" fillId="4" borderId="24" xfId="0" applyFill="1" applyBorder="1" applyAlignment="1" applyProtection="1">
      <protection hidden="1"/>
    </xf>
    <xf numFmtId="0" fontId="0" fillId="4" borderId="24" xfId="0" applyFill="1" applyBorder="1" applyAlignment="1" applyProtection="1">
      <alignment horizontal="right" indent="1"/>
      <protection hidden="1"/>
    </xf>
    <xf numFmtId="4" fontId="0" fillId="2" borderId="11" xfId="0" applyNumberFormat="1" applyFill="1" applyBorder="1" applyAlignment="1" applyProtection="1">
      <alignment horizontal="center"/>
      <protection hidden="1"/>
    </xf>
    <xf numFmtId="4" fontId="0" fillId="2" borderId="15" xfId="0" applyNumberFormat="1" applyFill="1" applyBorder="1" applyAlignment="1" applyProtection="1">
      <alignment horizontal="center"/>
      <protection hidden="1"/>
    </xf>
    <xf numFmtId="0" fontId="10" fillId="2" borderId="0" xfId="0" applyFont="1" applyFill="1" applyBorder="1" applyProtection="1">
      <protection hidden="1"/>
    </xf>
    <xf numFmtId="0" fontId="29" fillId="0" borderId="0" xfId="0" applyNumberFormat="1" applyFont="1" applyProtection="1">
      <protection hidden="1"/>
    </xf>
    <xf numFmtId="0" fontId="25" fillId="2" borderId="0" xfId="1" applyFont="1" applyFill="1" applyBorder="1" applyAlignment="1" applyProtection="1">
      <alignment horizontal="left"/>
      <protection hidden="1"/>
    </xf>
    <xf numFmtId="0" fontId="0" fillId="4" borderId="24" xfId="0" applyFill="1" applyBorder="1" applyAlignment="1" applyProtection="1">
      <alignment horizontal="right"/>
      <protection hidden="1"/>
    </xf>
    <xf numFmtId="4" fontId="0" fillId="2" borderId="10" xfId="0" applyNumberFormat="1" applyFill="1" applyBorder="1" applyAlignment="1" applyProtection="1">
      <alignment horizontal="center"/>
      <protection hidden="1"/>
    </xf>
    <xf numFmtId="10" fontId="10" fillId="2" borderId="0" xfId="0" applyNumberFormat="1" applyFont="1" applyFill="1" applyBorder="1" applyProtection="1">
      <protection hidden="1"/>
    </xf>
    <xf numFmtId="0" fontId="0" fillId="4" borderId="11" xfId="0" applyFill="1" applyBorder="1" applyAlignment="1" applyProtection="1">
      <alignment horizontal="left"/>
      <protection hidden="1"/>
    </xf>
    <xf numFmtId="0" fontId="0" fillId="4" borderId="24" xfId="0" applyFill="1" applyBorder="1" applyAlignment="1" applyProtection="1">
      <alignment horizontal="left"/>
      <protection hidden="1"/>
    </xf>
    <xf numFmtId="0" fontId="10" fillId="2" borderId="0" xfId="0" applyFont="1" applyFill="1" applyBorder="1" applyAlignment="1" applyProtection="1">
      <alignment wrapText="1"/>
      <protection hidden="1"/>
    </xf>
    <xf numFmtId="14" fontId="10" fillId="2" borderId="0" xfId="0" applyNumberFormat="1" applyFont="1" applyFill="1" applyBorder="1" applyAlignment="1" applyProtection="1">
      <protection hidden="1"/>
    </xf>
    <xf numFmtId="0" fontId="0" fillId="4" borderId="12" xfId="0" applyFill="1" applyBorder="1" applyAlignment="1" applyProtection="1">
      <protection hidden="1"/>
    </xf>
    <xf numFmtId="0" fontId="0" fillId="4" borderId="28" xfId="0" applyFill="1" applyBorder="1" applyAlignment="1" applyProtection="1">
      <protection hidden="1"/>
    </xf>
    <xf numFmtId="14" fontId="10" fillId="2" borderId="0" xfId="0" applyNumberFormat="1" applyFont="1" applyFill="1" applyBorder="1" applyProtection="1">
      <protection hidden="1"/>
    </xf>
    <xf numFmtId="0" fontId="0" fillId="6" borderId="11" xfId="0" applyFill="1" applyBorder="1" applyAlignment="1" applyProtection="1">
      <alignment horizontal="center" vertical="center" wrapText="1"/>
      <protection hidden="1"/>
    </xf>
    <xf numFmtId="0" fontId="0" fillId="6" borderId="11" xfId="0" applyFill="1" applyBorder="1" applyAlignment="1" applyProtection="1">
      <protection hidden="1"/>
    </xf>
    <xf numFmtId="0" fontId="0" fillId="6" borderId="24" xfId="0" applyFill="1" applyBorder="1" applyAlignment="1" applyProtection="1">
      <protection hidden="1"/>
    </xf>
    <xf numFmtId="0" fontId="0" fillId="6" borderId="15" xfId="0" applyFill="1" applyBorder="1" applyAlignment="1" applyProtection="1">
      <protection hidden="1"/>
    </xf>
    <xf numFmtId="0" fontId="0" fillId="6" borderId="10" xfId="0" applyFill="1" applyBorder="1" applyAlignment="1" applyProtection="1">
      <alignment horizontal="center" vertical="center" wrapText="1"/>
      <protection hidden="1"/>
    </xf>
    <xf numFmtId="4" fontId="0" fillId="2" borderId="0" xfId="0" applyNumberFormat="1" applyFill="1" applyBorder="1" applyProtection="1">
      <protection hidden="1"/>
    </xf>
    <xf numFmtId="4" fontId="0" fillId="0" borderId="0" xfId="0" applyNumberFormat="1" applyFill="1" applyBorder="1" applyProtection="1">
      <protection hidden="1"/>
    </xf>
    <xf numFmtId="8" fontId="10" fillId="2" borderId="0" xfId="0" applyNumberFormat="1" applyFont="1" applyFill="1" applyBorder="1" applyProtection="1">
      <protection hidden="1"/>
    </xf>
    <xf numFmtId="14" fontId="0" fillId="0" borderId="10" xfId="0" applyNumberFormat="1" applyFill="1" applyBorder="1" applyAlignment="1" applyProtection="1">
      <alignment horizontal="center"/>
      <protection hidden="1"/>
    </xf>
    <xf numFmtId="4" fontId="0" fillId="0" borderId="10" xfId="0" applyNumberFormat="1" applyFill="1" applyBorder="1" applyAlignment="1" applyProtection="1">
      <alignment horizontal="center"/>
      <protection hidden="1"/>
    </xf>
    <xf numFmtId="4" fontId="10" fillId="0" borderId="10" xfId="0" applyNumberFormat="1" applyFont="1" applyFill="1" applyBorder="1" applyAlignment="1" applyProtection="1">
      <alignment horizontal="center"/>
      <protection hidden="1"/>
    </xf>
    <xf numFmtId="4" fontId="29" fillId="0" borderId="10" xfId="0" applyNumberFormat="1" applyFont="1" applyBorder="1" applyAlignment="1" applyProtection="1">
      <alignment horizontal="center"/>
      <protection hidden="1"/>
    </xf>
    <xf numFmtId="4" fontId="0" fillId="0" borderId="0" xfId="0" applyNumberFormat="1" applyFill="1" applyBorder="1" applyAlignment="1" applyProtection="1">
      <alignment horizontal="center"/>
      <protection hidden="1"/>
    </xf>
    <xf numFmtId="0" fontId="0" fillId="0" borderId="0" xfId="0" applyFill="1" applyProtection="1">
      <protection hidden="1"/>
    </xf>
    <xf numFmtId="0" fontId="0" fillId="0" borderId="10" xfId="0" applyFill="1" applyBorder="1" applyAlignment="1" applyProtection="1">
      <alignment horizontal="center"/>
      <protection hidden="1"/>
    </xf>
    <xf numFmtId="4" fontId="0" fillId="0" borderId="10" xfId="0" applyNumberFormat="1" applyFont="1" applyBorder="1" applyAlignment="1" applyProtection="1">
      <alignment horizontal="center"/>
      <protection hidden="1"/>
    </xf>
    <xf numFmtId="167" fontId="0" fillId="0" borderId="10" xfId="0" applyNumberFormat="1" applyBorder="1" applyAlignment="1" applyProtection="1">
      <alignment horizontal="center"/>
      <protection hidden="1"/>
    </xf>
    <xf numFmtId="0" fontId="0" fillId="0" borderId="10" xfId="0" applyBorder="1" applyAlignment="1" applyProtection="1">
      <alignment horizontal="center"/>
      <protection hidden="1"/>
    </xf>
    <xf numFmtId="1" fontId="0" fillId="0" borderId="0" xfId="0" applyNumberFormat="1" applyFill="1" applyBorder="1" applyAlignment="1" applyProtection="1">
      <alignment horizontal="center"/>
      <protection hidden="1"/>
    </xf>
    <xf numFmtId="1" fontId="0" fillId="0" borderId="0" xfId="0" applyNumberFormat="1" applyFill="1" applyProtection="1">
      <protection hidden="1"/>
    </xf>
    <xf numFmtId="4" fontId="0" fillId="0" borderId="10" xfId="0" applyNumberFormat="1" applyBorder="1" applyAlignment="1" applyProtection="1">
      <alignment horizontal="center"/>
      <protection hidden="1"/>
    </xf>
    <xf numFmtId="14" fontId="0" fillId="0" borderId="0" xfId="0" applyNumberFormat="1" applyProtection="1">
      <protection hidden="1"/>
    </xf>
    <xf numFmtId="0" fontId="0" fillId="0" borderId="10" xfId="0" applyFill="1" applyBorder="1" applyProtection="1">
      <protection hidden="1"/>
    </xf>
    <xf numFmtId="0" fontId="0" fillId="0" borderId="10" xfId="0" applyBorder="1" applyProtection="1">
      <protection hidden="1"/>
    </xf>
    <xf numFmtId="0" fontId="1" fillId="0" borderId="10" xfId="0" applyFont="1" applyFill="1" applyBorder="1" applyAlignment="1" applyProtection="1">
      <alignment horizontal="center"/>
      <protection hidden="1"/>
    </xf>
    <xf numFmtId="0" fontId="1" fillId="0" borderId="10" xfId="0" applyFont="1" applyFill="1" applyBorder="1" applyProtection="1">
      <protection hidden="1"/>
    </xf>
    <xf numFmtId="4" fontId="1" fillId="0" borderId="10" xfId="0" applyNumberFormat="1" applyFont="1" applyFill="1" applyBorder="1" applyAlignment="1" applyProtection="1">
      <alignment horizontal="center"/>
      <protection hidden="1"/>
    </xf>
    <xf numFmtId="4" fontId="33" fillId="0" borderId="10" xfId="0" applyNumberFormat="1" applyFont="1" applyFill="1" applyBorder="1" applyAlignment="1" applyProtection="1">
      <alignment horizontal="center"/>
      <protection hidden="1"/>
    </xf>
    <xf numFmtId="167" fontId="1" fillId="0" borderId="10" xfId="0" applyNumberFormat="1" applyFont="1" applyFill="1" applyBorder="1" applyAlignment="1" applyProtection="1">
      <alignment horizontal="center"/>
      <protection hidden="1"/>
    </xf>
    <xf numFmtId="0" fontId="0" fillId="0" borderId="0" xfId="0" applyFill="1" applyBorder="1" applyAlignment="1" applyProtection="1">
      <alignment horizontal="center"/>
      <protection hidden="1"/>
    </xf>
    <xf numFmtId="4" fontId="0" fillId="0" borderId="0" xfId="0" applyNumberFormat="1" applyBorder="1" applyAlignment="1" applyProtection="1">
      <alignment horizontal="center"/>
      <protection hidden="1"/>
    </xf>
    <xf numFmtId="0" fontId="9" fillId="6" borderId="21" xfId="0" applyFont="1" applyFill="1" applyBorder="1" applyAlignment="1" applyProtection="1">
      <alignment horizontal="center" vertical="center" wrapText="1"/>
      <protection hidden="1"/>
    </xf>
    <xf numFmtId="0" fontId="9" fillId="6" borderId="22" xfId="0" applyFont="1" applyFill="1" applyBorder="1" applyAlignment="1" applyProtection="1">
      <alignment horizontal="center" vertical="center" wrapText="1"/>
      <protection hidden="1"/>
    </xf>
    <xf numFmtId="0" fontId="9" fillId="6" borderId="12" xfId="0" applyFont="1" applyFill="1" applyBorder="1" applyAlignment="1" applyProtection="1">
      <alignment horizontal="center" vertical="center" wrapText="1"/>
      <protection hidden="1"/>
    </xf>
    <xf numFmtId="0" fontId="9" fillId="6" borderId="16" xfId="0" applyFont="1" applyFill="1" applyBorder="1" applyAlignment="1" applyProtection="1">
      <alignment horizontal="center" vertical="center" wrapText="1"/>
      <protection hidden="1"/>
    </xf>
    <xf numFmtId="0" fontId="9" fillId="6" borderId="10" xfId="0" applyFont="1" applyFill="1" applyBorder="1" applyAlignment="1" applyProtection="1">
      <alignment horizontal="center" vertical="center" wrapText="1"/>
      <protection hidden="1"/>
    </xf>
    <xf numFmtId="0" fontId="36" fillId="0" borderId="0" xfId="0" applyFont="1" applyFill="1" applyBorder="1" applyAlignment="1" applyProtection="1">
      <alignment horizontal="right" vertical="top" wrapText="1"/>
      <protection hidden="1"/>
    </xf>
    <xf numFmtId="0" fontId="2" fillId="0" borderId="1" xfId="0" applyFont="1" applyBorder="1" applyAlignment="1" applyProtection="1">
      <alignment horizontal="center" vertical="center" wrapText="1"/>
      <protection hidden="1"/>
    </xf>
    <xf numFmtId="0" fontId="2" fillId="0" borderId="30"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7" xfId="0" applyFont="1" applyBorder="1" applyAlignment="1" applyProtection="1">
      <alignment horizontal="justify" vertical="center" wrapText="1"/>
      <protection hidden="1"/>
    </xf>
    <xf numFmtId="0" fontId="4" fillId="0" borderId="8" xfId="0" applyFont="1" applyBorder="1" applyAlignment="1" applyProtection="1">
      <alignment horizontal="center" vertical="center" wrapText="1"/>
      <protection hidden="1"/>
    </xf>
    <xf numFmtId="0" fontId="4" fillId="0" borderId="9" xfId="0" applyFont="1" applyBorder="1" applyAlignment="1" applyProtection="1">
      <alignment horizontal="center" vertical="center" wrapText="1"/>
      <protection hidden="1"/>
    </xf>
    <xf numFmtId="0" fontId="2" fillId="0" borderId="8" xfId="0" applyFont="1" applyBorder="1" applyAlignment="1" applyProtection="1">
      <alignment horizontal="center" vertical="center" wrapText="1"/>
      <protection hidden="1"/>
    </xf>
    <xf numFmtId="0" fontId="2" fillId="0" borderId="7" xfId="0" applyFont="1" applyBorder="1" applyAlignment="1" applyProtection="1">
      <alignment vertical="center" wrapText="1"/>
      <protection hidden="1"/>
    </xf>
    <xf numFmtId="0" fontId="2" fillId="0" borderId="3" xfId="0" applyFont="1" applyBorder="1" applyAlignment="1" applyProtection="1">
      <alignment vertical="center" wrapText="1"/>
      <protection hidden="1"/>
    </xf>
    <xf numFmtId="0" fontId="4" fillId="0" borderId="6"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2" fillId="0" borderId="3" xfId="0" applyFont="1" applyBorder="1" applyAlignment="1" applyProtection="1">
      <alignment vertical="center" wrapText="1"/>
      <protection hidden="1"/>
    </xf>
    <xf numFmtId="49" fontId="2" fillId="0" borderId="1" xfId="0" applyNumberFormat="1" applyFont="1" applyBorder="1" applyAlignment="1" applyProtection="1">
      <alignment horizontal="center" vertical="center" wrapText="1"/>
      <protection hidden="1"/>
    </xf>
    <xf numFmtId="49" fontId="2" fillId="0" borderId="2" xfId="0" applyNumberFormat="1" applyFont="1" applyBorder="1" applyAlignment="1" applyProtection="1">
      <alignment horizontal="center" vertical="center" wrapText="1"/>
      <protection hidden="1"/>
    </xf>
    <xf numFmtId="0" fontId="35" fillId="0" borderId="1" xfId="4" applyBorder="1" applyAlignment="1" applyProtection="1">
      <alignment horizontal="center" vertical="center" wrapText="1"/>
      <protection hidden="1"/>
    </xf>
    <xf numFmtId="0" fontId="4" fillId="0" borderId="1" xfId="0" applyFont="1" applyBorder="1" applyAlignment="1" applyProtection="1">
      <alignment horizontal="center" vertical="center" wrapText="1"/>
      <protection hidden="1"/>
    </xf>
    <xf numFmtId="0" fontId="4" fillId="0" borderId="30" xfId="0" applyFont="1" applyBorder="1" applyAlignment="1" applyProtection="1">
      <alignment horizontal="center" vertical="center" wrapText="1"/>
      <protection hidden="1"/>
    </xf>
    <xf numFmtId="0" fontId="4" fillId="0" borderId="2" xfId="0" applyFont="1" applyBorder="1" applyAlignment="1" applyProtection="1">
      <alignment horizontal="center" vertical="center" wrapText="1"/>
      <protection hidden="1"/>
    </xf>
    <xf numFmtId="4" fontId="4" fillId="0" borderId="1" xfId="0" applyNumberFormat="1" applyFont="1" applyBorder="1" applyAlignment="1" applyProtection="1">
      <alignment horizontal="center" vertical="center" wrapText="1"/>
      <protection hidden="1"/>
    </xf>
    <xf numFmtId="4" fontId="4" fillId="0" borderId="2" xfId="0" applyNumberFormat="1" applyFont="1" applyBorder="1" applyAlignment="1" applyProtection="1">
      <alignment horizontal="center" vertical="center" wrapText="1"/>
      <protection hidden="1"/>
    </xf>
    <xf numFmtId="0" fontId="4" fillId="2" borderId="1" xfId="0" applyFont="1" applyFill="1" applyBorder="1" applyAlignment="1" applyProtection="1">
      <alignment horizontal="center" vertical="center" wrapText="1"/>
      <protection hidden="1"/>
    </xf>
    <xf numFmtId="0" fontId="4" fillId="2" borderId="2" xfId="0" applyFont="1" applyFill="1" applyBorder="1" applyAlignment="1" applyProtection="1">
      <alignment horizontal="center" vertical="center" wrapText="1"/>
      <protection hidden="1"/>
    </xf>
    <xf numFmtId="0" fontId="2" fillId="0" borderId="7" xfId="0" applyFont="1" applyBorder="1" applyAlignment="1" applyProtection="1">
      <alignment horizontal="left" vertical="center" wrapText="1"/>
      <protection hidden="1"/>
    </xf>
    <xf numFmtId="0" fontId="2" fillId="0" borderId="9" xfId="0" applyFont="1" applyBorder="1" applyAlignment="1" applyProtection="1">
      <alignment horizontal="center" vertical="center" wrapText="1"/>
      <protection hidden="1"/>
    </xf>
    <xf numFmtId="0" fontId="2" fillId="0" borderId="29" xfId="0" applyFont="1" applyBorder="1" applyAlignment="1" applyProtection="1">
      <alignment horizontal="left" vertical="center" wrapText="1"/>
      <protection hidden="1"/>
    </xf>
    <xf numFmtId="0" fontId="2" fillId="0" borderId="3" xfId="0" applyFont="1" applyBorder="1" applyAlignment="1" applyProtection="1">
      <alignment horizontal="justify" vertical="center" wrapText="1"/>
      <protection hidden="1"/>
    </xf>
    <xf numFmtId="0" fontId="2" fillId="0" borderId="7" xfId="0" applyFont="1" applyBorder="1" applyAlignment="1" applyProtection="1">
      <alignment horizontal="justify" vertical="center" wrapText="1"/>
      <protection hidden="1"/>
    </xf>
    <xf numFmtId="9" fontId="2" fillId="0" borderId="8" xfId="0" applyNumberFormat="1" applyFont="1" applyBorder="1" applyAlignment="1" applyProtection="1">
      <alignment horizontal="center" vertical="center" wrapText="1"/>
      <protection hidden="1"/>
    </xf>
    <xf numFmtId="0" fontId="2" fillId="0" borderId="4" xfId="0" applyFont="1" applyBorder="1" applyAlignment="1" applyProtection="1">
      <alignment horizontal="justify" vertical="center" wrapText="1"/>
      <protection hidden="1"/>
    </xf>
    <xf numFmtId="0" fontId="2" fillId="0" borderId="6" xfId="0" applyFont="1" applyBorder="1" applyAlignment="1" applyProtection="1">
      <alignment horizontal="center" vertical="center" wrapText="1"/>
      <protection hidden="1"/>
    </xf>
    <xf numFmtId="0" fontId="2" fillId="0" borderId="5" xfId="0" applyFont="1" applyBorder="1" applyAlignment="1" applyProtection="1">
      <alignment horizontal="center" vertical="center" wrapText="1"/>
      <protection hidden="1"/>
    </xf>
    <xf numFmtId="0" fontId="4" fillId="0" borderId="35" xfId="0" applyFont="1" applyBorder="1" applyAlignment="1" applyProtection="1">
      <alignment horizontal="center" vertical="center" wrapText="1"/>
      <protection hidden="1"/>
    </xf>
    <xf numFmtId="0" fontId="4" fillId="0" borderId="36" xfId="0" applyFont="1" applyBorder="1" applyAlignment="1" applyProtection="1">
      <alignment horizontal="center" vertical="center" wrapText="1"/>
      <protection hidden="1"/>
    </xf>
    <xf numFmtId="0" fontId="4" fillId="0" borderId="37" xfId="0" applyFont="1" applyBorder="1" applyAlignment="1" applyProtection="1">
      <alignment horizontal="center" vertical="center" wrapText="1"/>
      <protection hidden="1"/>
    </xf>
    <xf numFmtId="0" fontId="2" fillId="0" borderId="6" xfId="0" applyFont="1" applyBorder="1" applyAlignment="1" applyProtection="1">
      <alignment horizontal="justify" vertical="center" wrapText="1"/>
      <protection hidden="1"/>
    </xf>
    <xf numFmtId="10" fontId="2" fillId="0" borderId="38" xfId="0" applyNumberFormat="1" applyFont="1" applyBorder="1" applyAlignment="1" applyProtection="1">
      <alignment horizontal="center" vertical="center" wrapText="1"/>
      <protection hidden="1"/>
    </xf>
    <xf numFmtId="10" fontId="2" fillId="0" borderId="40" xfId="0" applyNumberFormat="1" applyFont="1" applyBorder="1" applyAlignment="1" applyProtection="1">
      <alignment horizontal="center" vertical="center" wrapText="1"/>
      <protection hidden="1"/>
    </xf>
    <xf numFmtId="0" fontId="0" fillId="0" borderId="39" xfId="0" applyBorder="1" applyProtection="1">
      <protection hidden="1"/>
    </xf>
    <xf numFmtId="10" fontId="2" fillId="0" borderId="1" xfId="0" applyNumberFormat="1" applyFont="1" applyBorder="1" applyAlignment="1" applyProtection="1">
      <alignment horizontal="center" vertical="center" wrapText="1"/>
      <protection hidden="1"/>
    </xf>
    <xf numFmtId="10" fontId="2" fillId="0" borderId="2" xfId="0" applyNumberFormat="1" applyFont="1" applyBorder="1" applyAlignment="1" applyProtection="1">
      <alignment horizontal="center" vertical="center" wrapText="1"/>
      <protection hidden="1"/>
    </xf>
    <xf numFmtId="0" fontId="2" fillId="0" borderId="29" xfId="0" applyFont="1" applyBorder="1" applyAlignment="1" applyProtection="1">
      <alignment horizontal="justify" vertical="center" wrapText="1"/>
      <protection hidden="1"/>
    </xf>
    <xf numFmtId="4" fontId="2" fillId="0" borderId="1" xfId="0" applyNumberFormat="1" applyFont="1" applyBorder="1" applyAlignment="1" applyProtection="1">
      <alignment horizontal="center" vertical="center" wrapText="1"/>
      <protection hidden="1"/>
    </xf>
    <xf numFmtId="0" fontId="28" fillId="2" borderId="3" xfId="0" applyFont="1" applyFill="1" applyBorder="1" applyAlignment="1" applyProtection="1">
      <alignment horizontal="justify" vertical="center" wrapText="1"/>
      <protection hidden="1"/>
    </xf>
    <xf numFmtId="0" fontId="28" fillId="2" borderId="1" xfId="0" applyFont="1" applyFill="1" applyBorder="1" applyAlignment="1" applyProtection="1">
      <alignment horizontal="center" vertical="center" wrapText="1"/>
      <protection hidden="1"/>
    </xf>
    <xf numFmtId="0" fontId="28" fillId="2" borderId="2" xfId="0" applyFont="1" applyFill="1" applyBorder="1" applyAlignment="1" applyProtection="1">
      <alignment horizontal="center" vertical="center" wrapText="1"/>
      <protection hidden="1"/>
    </xf>
    <xf numFmtId="0" fontId="2" fillId="0" borderId="4" xfId="0" applyFont="1" applyBorder="1" applyAlignment="1" applyProtection="1">
      <alignment horizontal="justify" vertical="center" wrapText="1"/>
      <protection hidden="1"/>
    </xf>
    <xf numFmtId="167" fontId="4" fillId="0" borderId="1" xfId="0" applyNumberFormat="1" applyFont="1" applyBorder="1" applyAlignment="1" applyProtection="1">
      <alignment horizontal="center" vertical="center" wrapText="1"/>
      <protection hidden="1"/>
    </xf>
    <xf numFmtId="167" fontId="4" fillId="0" borderId="2" xfId="0" applyNumberFormat="1" applyFont="1" applyBorder="1" applyAlignment="1" applyProtection="1">
      <alignment horizontal="center" vertical="center" wrapText="1"/>
      <protection hidden="1"/>
    </xf>
    <xf numFmtId="0" fontId="2" fillId="0" borderId="1" xfId="0" applyFont="1" applyBorder="1" applyAlignment="1" applyProtection="1">
      <alignment horizontal="left" vertical="center" wrapText="1"/>
      <protection hidden="1"/>
    </xf>
    <xf numFmtId="0" fontId="2" fillId="0" borderId="30" xfId="0" applyFont="1" applyBorder="1" applyAlignment="1" applyProtection="1">
      <alignment horizontal="left" vertical="center" wrapText="1"/>
      <protection hidden="1"/>
    </xf>
    <xf numFmtId="0" fontId="2" fillId="0" borderId="2" xfId="0" applyFont="1" applyBorder="1" applyAlignment="1" applyProtection="1">
      <alignment horizontal="left" vertical="center" wrapText="1"/>
      <protection hidden="1"/>
    </xf>
    <xf numFmtId="0" fontId="2" fillId="2" borderId="1" xfId="0" applyFont="1" applyFill="1" applyBorder="1" applyAlignment="1" applyProtection="1">
      <alignment horizontal="justify" vertical="center" wrapText="1"/>
      <protection hidden="1"/>
    </xf>
    <xf numFmtId="0" fontId="2" fillId="2" borderId="1" xfId="0" applyFont="1" applyFill="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hidden="1"/>
    </xf>
    <xf numFmtId="0" fontId="2" fillId="2" borderId="29" xfId="0" applyFont="1" applyFill="1" applyBorder="1" applyAlignment="1" applyProtection="1">
      <alignment horizontal="justify" vertical="center" wrapText="1"/>
      <protection hidden="1"/>
    </xf>
    <xf numFmtId="4" fontId="2" fillId="0" borderId="1" xfId="0" applyNumberFormat="1" applyFont="1" applyFill="1" applyBorder="1" applyAlignment="1" applyProtection="1">
      <alignment horizontal="center" vertical="center" wrapText="1"/>
      <protection hidden="1"/>
    </xf>
    <xf numFmtId="4" fontId="2" fillId="0" borderId="2" xfId="0" applyNumberFormat="1" applyFont="1" applyFill="1" applyBorder="1" applyAlignment="1" applyProtection="1">
      <alignment horizontal="center" vertical="center" wrapText="1"/>
      <protection hidden="1"/>
    </xf>
    <xf numFmtId="0" fontId="2" fillId="0" borderId="1" xfId="0" applyFont="1" applyFill="1" applyBorder="1" applyAlignment="1" applyProtection="1">
      <alignment horizontal="center" vertical="center" wrapText="1"/>
      <protection hidden="1"/>
    </xf>
    <xf numFmtId="0" fontId="2" fillId="0" borderId="2" xfId="0" applyFont="1" applyFill="1" applyBorder="1" applyAlignment="1" applyProtection="1">
      <alignment horizontal="center" vertical="center" wrapText="1"/>
      <protection hidden="1"/>
    </xf>
    <xf numFmtId="0" fontId="2" fillId="0" borderId="30" xfId="0" applyFont="1" applyFill="1" applyBorder="1" applyAlignment="1" applyProtection="1">
      <alignment horizontal="center" vertical="center" wrapText="1"/>
      <protection hidden="1"/>
    </xf>
    <xf numFmtId="14" fontId="10" fillId="2" borderId="0" xfId="0" applyNumberFormat="1" applyFont="1" applyFill="1" applyProtection="1">
      <protection hidden="1"/>
    </xf>
    <xf numFmtId="0" fontId="2" fillId="2" borderId="7" xfId="0" applyFont="1" applyFill="1" applyBorder="1" applyAlignment="1" applyProtection="1">
      <alignment horizontal="right" vertical="center" wrapText="1"/>
      <protection hidden="1"/>
    </xf>
    <xf numFmtId="0" fontId="2" fillId="2" borderId="8" xfId="0" applyFont="1" applyFill="1" applyBorder="1" applyAlignment="1" applyProtection="1">
      <alignment horizontal="right" vertical="center" wrapText="1"/>
      <protection hidden="1"/>
    </xf>
    <xf numFmtId="0" fontId="2" fillId="2" borderId="9" xfId="0" applyFont="1" applyFill="1" applyBorder="1" applyAlignment="1" applyProtection="1">
      <alignment horizontal="right" vertical="center" wrapText="1"/>
      <protection hidden="1"/>
    </xf>
    <xf numFmtId="0" fontId="34" fillId="2" borderId="0" xfId="0" applyFont="1" applyFill="1" applyBorder="1" applyAlignment="1" applyProtection="1">
      <alignment horizontal="justify" vertical="center" wrapText="1"/>
      <protection hidden="1"/>
    </xf>
    <xf numFmtId="14" fontId="2" fillId="2" borderId="3" xfId="0" applyNumberFormat="1" applyFont="1" applyFill="1" applyBorder="1" applyAlignment="1" applyProtection="1">
      <alignment vertical="center" wrapText="1"/>
      <protection hidden="1"/>
    </xf>
    <xf numFmtId="14" fontId="2" fillId="2" borderId="6" xfId="0" applyNumberFormat="1" applyFont="1" applyFill="1" applyBorder="1" applyAlignment="1" applyProtection="1">
      <alignment horizontal="right" vertical="center" wrapText="1"/>
      <protection hidden="1"/>
    </xf>
    <xf numFmtId="14" fontId="2" fillId="2" borderId="5" xfId="0" applyNumberFormat="1" applyFont="1" applyFill="1" applyBorder="1" applyAlignment="1" applyProtection="1">
      <alignment horizontal="right" vertical="center" wrapText="1"/>
      <protection hidden="1"/>
    </xf>
    <xf numFmtId="0" fontId="2" fillId="0" borderId="7" xfId="0" applyFont="1" applyBorder="1" applyAlignment="1" applyProtection="1">
      <alignment horizontal="center" vertical="center" wrapText="1"/>
      <protection hidden="1"/>
    </xf>
    <xf numFmtId="0" fontId="4" fillId="0" borderId="3" xfId="0" applyFont="1" applyBorder="1" applyAlignment="1" applyProtection="1">
      <alignment horizontal="center" vertical="center" wrapText="1"/>
      <protection hidden="1"/>
    </xf>
    <xf numFmtId="0" fontId="2" fillId="0" borderId="4" xfId="0" applyFont="1" applyBorder="1" applyAlignment="1" applyProtection="1">
      <alignment horizontal="center" vertical="center" wrapText="1"/>
      <protection hidden="1"/>
    </xf>
    <xf numFmtId="0" fontId="2" fillId="2" borderId="30" xfId="0" applyFont="1" applyFill="1" applyBorder="1" applyAlignment="1" applyProtection="1">
      <alignment horizontal="center" vertical="center" wrapText="1"/>
      <protection hidden="1"/>
    </xf>
    <xf numFmtId="0" fontId="11" fillId="0" borderId="0" xfId="0" applyFont="1" applyProtection="1">
      <protection hidden="1"/>
    </xf>
    <xf numFmtId="0" fontId="38" fillId="0" borderId="0" xfId="0" applyFont="1" applyAlignment="1" applyProtection="1">
      <alignment horizontal="center" wrapText="1"/>
      <protection hidden="1"/>
    </xf>
    <xf numFmtId="165" fontId="16" fillId="0" borderId="0" xfId="1" applyNumberFormat="1" applyFont="1" applyFill="1" applyBorder="1" applyAlignment="1" applyProtection="1">
      <alignment horizontal="left" vertical="center"/>
      <protection hidden="1"/>
    </xf>
    <xf numFmtId="0" fontId="12" fillId="0" borderId="0" xfId="1" applyFont="1" applyFill="1" applyBorder="1" applyAlignment="1" applyProtection="1">
      <protection hidden="1"/>
    </xf>
    <xf numFmtId="165" fontId="16" fillId="0" borderId="48" xfId="1" applyNumberFormat="1" applyFont="1" applyFill="1" applyBorder="1" applyAlignment="1" applyProtection="1">
      <alignment horizontal="left" vertical="center"/>
      <protection hidden="1"/>
    </xf>
    <xf numFmtId="0" fontId="7" fillId="0" borderId="12" xfId="1" applyFont="1" applyFill="1" applyBorder="1" applyAlignment="1" applyProtection="1">
      <alignment horizontal="center" vertical="center" wrapText="1"/>
      <protection hidden="1"/>
    </xf>
    <xf numFmtId="0" fontId="7" fillId="0" borderId="21" xfId="1" applyFont="1" applyFill="1" applyBorder="1" applyAlignment="1" applyProtection="1">
      <alignment horizontal="center" vertical="center" wrapText="1"/>
      <protection hidden="1"/>
    </xf>
    <xf numFmtId="165" fontId="7" fillId="0" borderId="13" xfId="1" applyNumberFormat="1" applyFont="1" applyFill="1" applyBorder="1" applyAlignment="1" applyProtection="1">
      <alignment horizontal="center" vertical="center" wrapText="1"/>
      <protection hidden="1"/>
    </xf>
    <xf numFmtId="0" fontId="7" fillId="0" borderId="16" xfId="1" applyFont="1" applyFill="1" applyBorder="1" applyAlignment="1" applyProtection="1">
      <alignment horizontal="center" vertical="center" wrapText="1"/>
      <protection hidden="1"/>
    </xf>
    <xf numFmtId="0" fontId="7" fillId="0" borderId="22" xfId="1" applyFont="1" applyFill="1" applyBorder="1" applyAlignment="1" applyProtection="1">
      <alignment horizontal="center" vertical="center" wrapText="1"/>
      <protection hidden="1"/>
    </xf>
    <xf numFmtId="0" fontId="7" fillId="0" borderId="23" xfId="1" applyFont="1" applyFill="1" applyBorder="1" applyAlignment="1" applyProtection="1">
      <alignment horizontal="center" vertical="center" wrapText="1"/>
      <protection hidden="1"/>
    </xf>
    <xf numFmtId="0" fontId="0" fillId="2" borderId="12" xfId="0" applyFill="1" applyBorder="1" applyAlignment="1" applyProtection="1">
      <alignment horizontal="center" vertical="center" wrapText="1"/>
      <protection hidden="1"/>
    </xf>
    <xf numFmtId="0" fontId="0" fillId="2" borderId="21" xfId="0" applyFill="1" applyBorder="1" applyAlignment="1" applyProtection="1">
      <alignment horizontal="center" vertical="center" wrapText="1"/>
      <protection hidden="1"/>
    </xf>
    <xf numFmtId="14" fontId="7" fillId="2" borderId="11" xfId="1" applyNumberFormat="1" applyFont="1" applyFill="1" applyBorder="1" applyAlignment="1" applyProtection="1">
      <alignment horizontal="left" vertical="center"/>
      <protection hidden="1"/>
    </xf>
    <xf numFmtId="14" fontId="7" fillId="2" borderId="15" xfId="1" applyNumberFormat="1" applyFont="1" applyFill="1" applyBorder="1" applyAlignment="1" applyProtection="1">
      <alignment horizontal="left" vertical="center"/>
      <protection hidden="1"/>
    </xf>
    <xf numFmtId="0" fontId="0" fillId="2" borderId="16" xfId="0" applyFill="1" applyBorder="1" applyAlignment="1" applyProtection="1">
      <alignment horizontal="center" vertical="center" wrapText="1"/>
      <protection hidden="1"/>
    </xf>
    <xf numFmtId="0" fontId="0" fillId="2" borderId="22" xfId="0" applyFill="1" applyBorder="1" applyAlignment="1" applyProtection="1">
      <alignment horizontal="center" vertical="center" wrapText="1"/>
      <protection hidden="1"/>
    </xf>
    <xf numFmtId="0" fontId="7" fillId="0" borderId="0" xfId="1" applyFont="1" applyFill="1" applyBorder="1" applyAlignment="1" applyProtection="1">
      <alignment vertical="center" wrapText="1"/>
      <protection hidden="1"/>
    </xf>
    <xf numFmtId="0" fontId="7" fillId="0" borderId="0" xfId="1" applyFont="1" applyFill="1" applyBorder="1" applyAlignment="1" applyProtection="1">
      <alignment horizontal="left" vertical="center" wrapText="1"/>
      <protection hidden="1"/>
    </xf>
    <xf numFmtId="0" fontId="7" fillId="0" borderId="0" xfId="1" applyFont="1" applyFill="1" applyBorder="1" applyAlignment="1" applyProtection="1">
      <alignment horizontal="left" vertical="center"/>
      <protection hidden="1"/>
    </xf>
    <xf numFmtId="0" fontId="13" fillId="0" borderId="0" xfId="1" applyFont="1" applyFill="1" applyBorder="1" applyAlignment="1" applyProtection="1">
      <alignment vertical="center"/>
      <protection hidden="1"/>
    </xf>
    <xf numFmtId="0" fontId="40" fillId="5" borderId="0" xfId="0" applyFont="1" applyFill="1" applyBorder="1" applyProtection="1">
      <protection hidden="1"/>
    </xf>
  </cellXfs>
  <cellStyles count="5">
    <cellStyle name="Гиперссылка" xfId="4" builtinId="8"/>
    <cellStyle name="Обычный" xfId="0" builtinId="0"/>
    <cellStyle name="Обычный 2" xfId="1"/>
    <cellStyle name="Процентный 2" xfId="2"/>
    <cellStyle name="Финансовый 2" xfId="3"/>
  </cellStyles>
  <dxfs count="0"/>
  <tableStyles count="0" defaultTableStyle="TableStyleMedium2" defaultPivotStyle="PivotStyleLight16"/>
  <colors>
    <mruColors>
      <color rgb="FFF68E38"/>
      <color rgb="FFF5801F"/>
      <color rgb="FFF8A764"/>
      <color rgb="FF42F6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1266825</xdr:colOff>
      <xdr:row>0</xdr:row>
      <xdr:rowOff>57150</xdr:rowOff>
    </xdr:from>
    <xdr:to>
      <xdr:col>2</xdr:col>
      <xdr:colOff>3971925</xdr:colOff>
      <xdr:row>0</xdr:row>
      <xdr:rowOff>1000125</xdr:rowOff>
    </xdr:to>
    <xdr:pic>
      <xdr:nvPicPr>
        <xdr:cNvPr id="2" name="Рисунок 1" descr="C:\Users\Pivovar\Desktop\2021\logo-finline.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57150"/>
          <a:ext cx="2705100" cy="942975"/>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in-line.com.ua/" TargetMode="External"/><Relationship Id="rId2" Type="http://schemas.openxmlformats.org/officeDocument/2006/relationships/hyperlink" Target="https://zakon.rada.gov.ua/laws/show/2341-14" TargetMode="External"/><Relationship Id="rId1" Type="http://schemas.openxmlformats.org/officeDocument/2006/relationships/hyperlink" Target="mailto:fk_finline@ukr.ne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64"/>
  <sheetViews>
    <sheetView tabSelected="1" zoomScaleNormal="100" zoomScaleSheetLayoutView="80" workbookViewId="0">
      <selection activeCell="H4" sqref="H4"/>
    </sheetView>
  </sheetViews>
  <sheetFormatPr defaultRowHeight="15" x14ac:dyDescent="0.25"/>
  <cols>
    <col min="1" max="1" width="45.5703125" style="119" customWidth="1"/>
    <col min="2" max="2" width="6.5703125" style="119" customWidth="1"/>
    <col min="3" max="3" width="60.85546875" style="119" customWidth="1"/>
    <col min="4" max="4" width="14.28515625" style="119" customWidth="1"/>
    <col min="5" max="16384" width="9.140625" style="119"/>
  </cols>
  <sheetData>
    <row r="1" spans="1:5" ht="83.25" customHeight="1" thickBot="1" x14ac:dyDescent="0.3">
      <c r="C1" s="201"/>
    </row>
    <row r="2" spans="1:5" ht="15.75" thickBot="1" x14ac:dyDescent="0.3">
      <c r="A2" s="202" t="s">
        <v>0</v>
      </c>
      <c r="B2" s="203"/>
      <c r="C2" s="204"/>
    </row>
    <row r="3" spans="1:5" ht="36.75" thickBot="1" x14ac:dyDescent="0.3">
      <c r="A3" s="205" t="s">
        <v>1</v>
      </c>
      <c r="B3" s="206" t="s">
        <v>139</v>
      </c>
      <c r="C3" s="207"/>
    </row>
    <row r="4" spans="1:5" ht="15.75" thickBot="1" x14ac:dyDescent="0.3">
      <c r="A4" s="205" t="s">
        <v>150</v>
      </c>
      <c r="B4" s="208" t="s">
        <v>162</v>
      </c>
      <c r="C4" s="207"/>
    </row>
    <row r="5" spans="1:5" x14ac:dyDescent="0.25">
      <c r="A5" s="209" t="s">
        <v>2</v>
      </c>
      <c r="B5" s="206" t="s">
        <v>143</v>
      </c>
      <c r="C5" s="207"/>
    </row>
    <row r="6" spans="1:5" ht="15.75" thickBot="1" x14ac:dyDescent="0.3">
      <c r="A6" s="210"/>
      <c r="B6" s="211" t="s">
        <v>144</v>
      </c>
      <c r="C6" s="212"/>
    </row>
    <row r="7" spans="1:5" ht="15.75" thickBot="1" x14ac:dyDescent="0.3">
      <c r="A7" s="213" t="s">
        <v>3</v>
      </c>
      <c r="B7" s="214" t="s">
        <v>140</v>
      </c>
      <c r="C7" s="215"/>
    </row>
    <row r="8" spans="1:5" ht="15.75" thickBot="1" x14ac:dyDescent="0.3">
      <c r="A8" s="213" t="s">
        <v>4</v>
      </c>
      <c r="B8" s="216" t="s">
        <v>141</v>
      </c>
      <c r="C8" s="204"/>
    </row>
    <row r="9" spans="1:5" ht="15.75" thickBot="1" x14ac:dyDescent="0.3">
      <c r="A9" s="213" t="s">
        <v>5</v>
      </c>
      <c r="B9" s="216" t="s">
        <v>142</v>
      </c>
      <c r="C9" s="204"/>
    </row>
    <row r="10" spans="1:5" ht="15.75" customHeight="1" thickBot="1" x14ac:dyDescent="0.3">
      <c r="A10" s="217" t="s">
        <v>156</v>
      </c>
      <c r="B10" s="218"/>
      <c r="C10" s="219"/>
    </row>
    <row r="11" spans="1:5" ht="15.75" thickBot="1" x14ac:dyDescent="0.3">
      <c r="A11" s="213" t="s">
        <v>6</v>
      </c>
      <c r="B11" s="202" t="s">
        <v>57</v>
      </c>
      <c r="C11" s="204"/>
    </row>
    <row r="12" spans="1:5" ht="15.75" thickBot="1" x14ac:dyDescent="0.3">
      <c r="A12" s="213" t="s">
        <v>7</v>
      </c>
      <c r="B12" s="220">
        <f>Графік!F7</f>
        <v>1000000</v>
      </c>
      <c r="C12" s="221"/>
    </row>
    <row r="13" spans="1:5" ht="15.75" thickBot="1" x14ac:dyDescent="0.3">
      <c r="A13" s="213" t="s">
        <v>97</v>
      </c>
      <c r="B13" s="222" t="str">
        <f>CONCATENATE(E13,D13)</f>
        <v>60 міс.</v>
      </c>
      <c r="C13" s="223"/>
      <c r="D13" s="145" t="s">
        <v>98</v>
      </c>
      <c r="E13" s="145">
        <f>Графік!F8</f>
        <v>60</v>
      </c>
    </row>
    <row r="14" spans="1:5" ht="15.75" thickBot="1" x14ac:dyDescent="0.3">
      <c r="A14" s="224" t="s">
        <v>8</v>
      </c>
      <c r="B14" s="208" t="s">
        <v>161</v>
      </c>
      <c r="C14" s="225"/>
    </row>
    <row r="15" spans="1:5" ht="15.75" thickBot="1" x14ac:dyDescent="0.3">
      <c r="A15" s="226" t="s">
        <v>9</v>
      </c>
      <c r="B15" s="202" t="s">
        <v>84</v>
      </c>
      <c r="C15" s="204"/>
    </row>
    <row r="16" spans="1:5" ht="15.75" thickBot="1" x14ac:dyDescent="0.3">
      <c r="A16" s="227" t="s">
        <v>10</v>
      </c>
      <c r="B16" s="202" t="s">
        <v>145</v>
      </c>
      <c r="C16" s="204"/>
    </row>
    <row r="17" spans="1:4" ht="38.25" customHeight="1" thickBot="1" x14ac:dyDescent="0.3">
      <c r="A17" s="227" t="s">
        <v>11</v>
      </c>
      <c r="B17" s="202" t="s">
        <v>146</v>
      </c>
      <c r="C17" s="204"/>
    </row>
    <row r="18" spans="1:4" ht="20.25" customHeight="1" x14ac:dyDescent="0.25">
      <c r="A18" s="228" t="s">
        <v>153</v>
      </c>
      <c r="B18" s="229">
        <f>Графік!F6</f>
        <v>0.33333333333333331</v>
      </c>
      <c r="C18" s="225"/>
    </row>
    <row r="19" spans="1:4" ht="15.75" thickBot="1" x14ac:dyDescent="0.3">
      <c r="A19" s="230"/>
      <c r="B19" s="231"/>
      <c r="C19" s="232"/>
    </row>
    <row r="20" spans="1:4" ht="19.5" customHeight="1" x14ac:dyDescent="0.25">
      <c r="A20" s="233" t="s">
        <v>157</v>
      </c>
      <c r="B20" s="234"/>
      <c r="C20" s="235"/>
    </row>
    <row r="21" spans="1:4" ht="19.5" customHeight="1" thickBot="1" x14ac:dyDescent="0.3">
      <c r="A21" s="236" t="s">
        <v>13</v>
      </c>
      <c r="B21" s="237">
        <f>Графік!F9</f>
        <v>0.2</v>
      </c>
      <c r="C21" s="238"/>
      <c r="D21" s="239"/>
    </row>
    <row r="22" spans="1:4" ht="21.75" customHeight="1" thickBot="1" x14ac:dyDescent="0.3">
      <c r="A22" s="227" t="s">
        <v>14</v>
      </c>
      <c r="B22" s="231" t="s">
        <v>89</v>
      </c>
      <c r="C22" s="232"/>
    </row>
    <row r="23" spans="1:4" ht="24.75" thickBot="1" x14ac:dyDescent="0.3">
      <c r="A23" s="227" t="s">
        <v>15</v>
      </c>
      <c r="B23" s="202" t="s">
        <v>16</v>
      </c>
      <c r="C23" s="204"/>
    </row>
    <row r="24" spans="1:4" ht="15.75" thickBot="1" x14ac:dyDescent="0.3">
      <c r="A24" s="227" t="s">
        <v>83</v>
      </c>
      <c r="B24" s="240">
        <f>Графік!P3</f>
        <v>0.01</v>
      </c>
      <c r="C24" s="241"/>
    </row>
    <row r="25" spans="1:4" ht="15.75" thickBot="1" x14ac:dyDescent="0.3">
      <c r="A25" s="227" t="s">
        <v>17</v>
      </c>
      <c r="B25" s="202" t="s">
        <v>12</v>
      </c>
      <c r="C25" s="204"/>
    </row>
    <row r="26" spans="1:4" ht="26.25" customHeight="1" thickBot="1" x14ac:dyDescent="0.3">
      <c r="A26" s="242" t="s">
        <v>18</v>
      </c>
      <c r="B26" s="243" t="s">
        <v>12</v>
      </c>
      <c r="C26" s="204"/>
    </row>
    <row r="27" spans="1:4" ht="24.75" thickBot="1" x14ac:dyDescent="0.3">
      <c r="A27" s="244" t="s">
        <v>99</v>
      </c>
      <c r="B27" s="245" t="s">
        <v>100</v>
      </c>
      <c r="C27" s="246"/>
    </row>
    <row r="28" spans="1:4" ht="24.75" thickBot="1" x14ac:dyDescent="0.3">
      <c r="A28" s="244" t="s">
        <v>101</v>
      </c>
      <c r="B28" s="245" t="s">
        <v>147</v>
      </c>
      <c r="C28" s="246"/>
    </row>
    <row r="29" spans="1:4" ht="15.75" thickBot="1" x14ac:dyDescent="0.3">
      <c r="A29" s="227" t="s">
        <v>19</v>
      </c>
      <c r="B29" s="220">
        <f ca="1">B30-B12</f>
        <v>566266.30000000005</v>
      </c>
      <c r="C29" s="221"/>
    </row>
    <row r="30" spans="1:4" ht="36.75" thickBot="1" x14ac:dyDescent="0.3">
      <c r="A30" s="227" t="s">
        <v>20</v>
      </c>
      <c r="B30" s="220">
        <f ca="1">SUM('Дод 1 до дог.кред.'!P30:P270)</f>
        <v>1566266.3</v>
      </c>
      <c r="C30" s="221"/>
    </row>
    <row r="31" spans="1:4" ht="15.75" thickBot="1" x14ac:dyDescent="0.3">
      <c r="A31" s="247" t="s">
        <v>21</v>
      </c>
      <c r="B31" s="248">
        <f ca="1">SUM(Графік!P24:P265)</f>
        <v>0.25053634047508244</v>
      </c>
      <c r="C31" s="249"/>
    </row>
    <row r="32" spans="1:4" ht="48" customHeight="1" thickBot="1" x14ac:dyDescent="0.3">
      <c r="A32" s="250" t="s">
        <v>22</v>
      </c>
      <c r="B32" s="251"/>
      <c r="C32" s="252"/>
    </row>
    <row r="33" spans="1:5" ht="24" customHeight="1" thickBot="1" x14ac:dyDescent="0.3">
      <c r="A33" s="250" t="s">
        <v>23</v>
      </c>
      <c r="B33" s="251"/>
      <c r="C33" s="252"/>
    </row>
    <row r="34" spans="1:5" ht="24" customHeight="1" thickBot="1" x14ac:dyDescent="0.3">
      <c r="A34" s="250" t="s">
        <v>24</v>
      </c>
      <c r="B34" s="251"/>
      <c r="C34" s="252"/>
    </row>
    <row r="35" spans="1:5" ht="24" customHeight="1" thickBot="1" x14ac:dyDescent="0.3">
      <c r="A35" s="253" t="s">
        <v>105</v>
      </c>
      <c r="B35" s="254" t="s">
        <v>16</v>
      </c>
      <c r="C35" s="255"/>
    </row>
    <row r="36" spans="1:5" ht="24" customHeight="1" thickBot="1" x14ac:dyDescent="0.3">
      <c r="A36" s="256" t="s">
        <v>130</v>
      </c>
      <c r="B36" s="257" t="str">
        <f>IF(D36=0,E36,CONCATENATE(E36,D36))</f>
        <v>так, 10000</v>
      </c>
      <c r="C36" s="258"/>
      <c r="D36" s="137">
        <f>Графік!I24</f>
        <v>10000</v>
      </c>
      <c r="E36" s="145" t="str">
        <f>IF(D36&gt;0,"так, ","ні")</f>
        <v xml:space="preserve">так, </v>
      </c>
    </row>
    <row r="37" spans="1:5" ht="24" customHeight="1" thickBot="1" x14ac:dyDescent="0.3">
      <c r="A37" s="256" t="s">
        <v>106</v>
      </c>
      <c r="B37" s="257" t="str">
        <f>IF(D37=0,E37,CONCATENATE(E37,D37))</f>
        <v>так, 2000</v>
      </c>
      <c r="C37" s="258"/>
      <c r="D37" s="137">
        <f>Графік!J24</f>
        <v>2000</v>
      </c>
      <c r="E37" s="145" t="str">
        <f>IF(D37&gt;0,"так, ","ні")</f>
        <v xml:space="preserve">так, </v>
      </c>
    </row>
    <row r="38" spans="1:5" ht="24" customHeight="1" thickBot="1" x14ac:dyDescent="0.3">
      <c r="A38" s="256" t="s">
        <v>107</v>
      </c>
      <c r="B38" s="257" t="str">
        <f>IF(D38=0,E38,CONCATENATE(E38,D38))</f>
        <v>так, 36250</v>
      </c>
      <c r="C38" s="258"/>
      <c r="D38" s="137">
        <f>Графік!P9+Графік!P11</f>
        <v>36250</v>
      </c>
      <c r="E38" s="145" t="str">
        <f>IF(D38&gt;0,"так, ","ні")</f>
        <v xml:space="preserve">так, </v>
      </c>
    </row>
    <row r="39" spans="1:5" ht="24" customHeight="1" thickBot="1" x14ac:dyDescent="0.3">
      <c r="A39" s="256" t="s">
        <v>108</v>
      </c>
      <c r="B39" s="257" t="str">
        <f>IF(D39=0,E39,CONCATENATE(E39,D39))</f>
        <v>ні</v>
      </c>
      <c r="C39" s="258"/>
      <c r="D39" s="137">
        <f>Графік!L24</f>
        <v>0</v>
      </c>
      <c r="E39" s="145" t="str">
        <f>IF(D39&gt;0,"так, ","ні")</f>
        <v>ні</v>
      </c>
    </row>
    <row r="40" spans="1:5" ht="15.75" thickBot="1" x14ac:dyDescent="0.3">
      <c r="A40" s="217" t="s">
        <v>158</v>
      </c>
      <c r="B40" s="218"/>
      <c r="C40" s="219"/>
    </row>
    <row r="41" spans="1:5" ht="75" customHeight="1" thickBot="1" x14ac:dyDescent="0.3">
      <c r="A41" s="242" t="s">
        <v>25</v>
      </c>
      <c r="B41" s="254" t="s">
        <v>104</v>
      </c>
      <c r="C41" s="255"/>
    </row>
    <row r="42" spans="1:5" ht="15.75" thickBot="1" x14ac:dyDescent="0.3">
      <c r="A42" s="217" t="s">
        <v>159</v>
      </c>
      <c r="B42" s="218"/>
      <c r="C42" s="219"/>
    </row>
    <row r="43" spans="1:5" ht="24.75" thickBot="1" x14ac:dyDescent="0.3">
      <c r="A43" s="227" t="s">
        <v>26</v>
      </c>
      <c r="B43" s="254" t="s">
        <v>102</v>
      </c>
      <c r="C43" s="255"/>
    </row>
    <row r="44" spans="1:5" ht="15.75" thickBot="1" x14ac:dyDescent="0.3">
      <c r="A44" s="227" t="s">
        <v>27</v>
      </c>
      <c r="B44" s="202" t="s">
        <v>28</v>
      </c>
      <c r="C44" s="204"/>
    </row>
    <row r="45" spans="1:5" ht="15.75" thickBot="1" x14ac:dyDescent="0.3">
      <c r="A45" s="244" t="s">
        <v>103</v>
      </c>
      <c r="B45" s="245" t="s">
        <v>12</v>
      </c>
      <c r="C45" s="246"/>
    </row>
    <row r="46" spans="1:5" ht="36.75" thickBot="1" x14ac:dyDescent="0.3">
      <c r="A46" s="227" t="s">
        <v>95</v>
      </c>
      <c r="B46" s="202" t="s">
        <v>154</v>
      </c>
      <c r="C46" s="204"/>
    </row>
    <row r="47" spans="1:5" ht="15.75" thickBot="1" x14ac:dyDescent="0.3">
      <c r="A47" s="227" t="s">
        <v>29</v>
      </c>
      <c r="B47" s="202" t="s">
        <v>12</v>
      </c>
      <c r="C47" s="204"/>
    </row>
    <row r="48" spans="1:5" ht="25.5" customHeight="1" thickBot="1" x14ac:dyDescent="0.3">
      <c r="A48" s="227" t="s">
        <v>135</v>
      </c>
      <c r="B48" s="259" t="s">
        <v>88</v>
      </c>
      <c r="C48" s="260"/>
      <c r="D48" s="145"/>
      <c r="E48" s="145"/>
    </row>
    <row r="49" spans="1:5" ht="25.5" customHeight="1" thickBot="1" x14ac:dyDescent="0.3">
      <c r="A49" s="259" t="s">
        <v>136</v>
      </c>
      <c r="B49" s="261"/>
      <c r="C49" s="260"/>
      <c r="D49" s="145"/>
      <c r="E49" s="145"/>
    </row>
    <row r="50" spans="1:5" ht="15.75" thickBot="1" x14ac:dyDescent="0.3">
      <c r="A50" s="217" t="s">
        <v>160</v>
      </c>
      <c r="B50" s="218"/>
      <c r="C50" s="219"/>
    </row>
    <row r="51" spans="1:5" ht="36" customHeight="1" thickBot="1" x14ac:dyDescent="0.3">
      <c r="A51" s="202" t="s">
        <v>30</v>
      </c>
      <c r="B51" s="203"/>
      <c r="C51" s="204"/>
    </row>
    <row r="52" spans="1:5" ht="48.75" thickBot="1" x14ac:dyDescent="0.3">
      <c r="A52" s="242" t="s">
        <v>31</v>
      </c>
      <c r="B52" s="202" t="s">
        <v>12</v>
      </c>
      <c r="C52" s="204"/>
    </row>
    <row r="53" spans="1:5" ht="36" customHeight="1" thickBot="1" x14ac:dyDescent="0.3">
      <c r="A53" s="202" t="s">
        <v>32</v>
      </c>
      <c r="B53" s="203"/>
      <c r="C53" s="204"/>
    </row>
    <row r="54" spans="1:5" ht="36" customHeight="1" thickBot="1" x14ac:dyDescent="0.3">
      <c r="A54" s="202" t="s">
        <v>33</v>
      </c>
      <c r="B54" s="203"/>
      <c r="C54" s="204"/>
      <c r="D54" s="262">
        <f ca="1">TODAY()</f>
        <v>44523</v>
      </c>
      <c r="E54" s="145" t="s">
        <v>132</v>
      </c>
    </row>
    <row r="55" spans="1:5" ht="15" customHeight="1" x14ac:dyDescent="0.25">
      <c r="A55" s="263" t="str">
        <f>E54</f>
        <v xml:space="preserve">Дата надання інформації: </v>
      </c>
      <c r="B55" s="264" t="str">
        <f>E55</f>
        <v>Ця інформація зберігає чинність та є актуальною до :</v>
      </c>
      <c r="C55" s="265"/>
      <c r="D55" s="262">
        <f ca="1">EDATE(D54,Графік!F8)-1</f>
        <v>46348</v>
      </c>
      <c r="E55" s="266" t="s">
        <v>152</v>
      </c>
    </row>
    <row r="56" spans="1:5" ht="15.75" thickBot="1" x14ac:dyDescent="0.3">
      <c r="A56" s="267">
        <f ca="1">D54</f>
        <v>44523</v>
      </c>
      <c r="B56" s="268">
        <f ca="1">D55</f>
        <v>46348</v>
      </c>
      <c r="C56" s="269"/>
      <c r="D56" s="145"/>
      <c r="E56" s="266"/>
    </row>
    <row r="57" spans="1:5" x14ac:dyDescent="0.25">
      <c r="A57" s="270"/>
      <c r="B57" s="208" t="s">
        <v>35</v>
      </c>
      <c r="C57" s="225"/>
    </row>
    <row r="58" spans="1:5" ht="15.75" thickBot="1" x14ac:dyDescent="0.3">
      <c r="A58" s="271" t="s">
        <v>34</v>
      </c>
      <c r="B58" s="231"/>
      <c r="C58" s="232"/>
    </row>
    <row r="59" spans="1:5" ht="24" customHeight="1" thickBot="1" x14ac:dyDescent="0.3">
      <c r="A59" s="202" t="s">
        <v>36</v>
      </c>
      <c r="B59" s="203"/>
      <c r="C59" s="204"/>
    </row>
    <row r="60" spans="1:5" ht="48" customHeight="1" thickBot="1" x14ac:dyDescent="0.3">
      <c r="A60" s="202" t="s">
        <v>37</v>
      </c>
      <c r="B60" s="203"/>
      <c r="C60" s="204"/>
    </row>
    <row r="61" spans="1:5" x14ac:dyDescent="0.25">
      <c r="A61" s="272"/>
      <c r="B61" s="208" t="s">
        <v>39</v>
      </c>
      <c r="C61" s="225"/>
    </row>
    <row r="62" spans="1:5" ht="15.75" thickBot="1" x14ac:dyDescent="0.3">
      <c r="A62" s="271" t="s">
        <v>38</v>
      </c>
      <c r="B62" s="231"/>
      <c r="C62" s="232"/>
    </row>
    <row r="63" spans="1:5" ht="61.5" customHeight="1" thickBot="1" x14ac:dyDescent="0.3">
      <c r="A63" s="254" t="s">
        <v>137</v>
      </c>
      <c r="B63" s="273"/>
      <c r="C63" s="255"/>
    </row>
    <row r="64" spans="1:5" ht="30.75" customHeight="1" thickBot="1" x14ac:dyDescent="0.3">
      <c r="A64" s="254" t="s">
        <v>138</v>
      </c>
      <c r="B64" s="273"/>
      <c r="C64" s="255"/>
    </row>
  </sheetData>
  <sheetProtection algorithmName="SHA-512" hashValue="KnBE7BXt9L4+mruaLH2WHFD6CqZAglENHrJFFjEyCam1j7yZxqVq3AsySDOCy2Vu7SK0uXVe9OWZDUZwytcepw==" saltValue="5JtyjtdtrpNYNwkEx6ZDiw==" spinCount="100000" sheet="1" objects="1" scenarios="1"/>
  <mergeCells count="63">
    <mergeCell ref="E55:E56"/>
    <mergeCell ref="A59:C59"/>
    <mergeCell ref="A60:C60"/>
    <mergeCell ref="B41:C41"/>
    <mergeCell ref="A42:C42"/>
    <mergeCell ref="A53:C53"/>
    <mergeCell ref="A54:C54"/>
    <mergeCell ref="B48:C48"/>
    <mergeCell ref="A49:C49"/>
    <mergeCell ref="B55:C55"/>
    <mergeCell ref="B56:C56"/>
    <mergeCell ref="A5:A6"/>
    <mergeCell ref="A18:A19"/>
    <mergeCell ref="B57:C58"/>
    <mergeCell ref="B3:C3"/>
    <mergeCell ref="B4:C4"/>
    <mergeCell ref="B5:C5"/>
    <mergeCell ref="B6:C6"/>
    <mergeCell ref="B7:C7"/>
    <mergeCell ref="B8:C8"/>
    <mergeCell ref="B9:C9"/>
    <mergeCell ref="A10:C10"/>
    <mergeCell ref="B11:C11"/>
    <mergeCell ref="B12:C12"/>
    <mergeCell ref="B13:C13"/>
    <mergeCell ref="A20:C20"/>
    <mergeCell ref="B22:C22"/>
    <mergeCell ref="B23:C23"/>
    <mergeCell ref="B21:C21"/>
    <mergeCell ref="B14:C14"/>
    <mergeCell ref="B15:C15"/>
    <mergeCell ref="B16:C16"/>
    <mergeCell ref="B17:C17"/>
    <mergeCell ref="B18:C19"/>
    <mergeCell ref="A40:C40"/>
    <mergeCell ref="B24:C24"/>
    <mergeCell ref="B25:C25"/>
    <mergeCell ref="B26:C26"/>
    <mergeCell ref="B29:C29"/>
    <mergeCell ref="B30:C30"/>
    <mergeCell ref="B27:C27"/>
    <mergeCell ref="B28:C28"/>
    <mergeCell ref="B35:C35"/>
    <mergeCell ref="B36:C36"/>
    <mergeCell ref="B37:C37"/>
    <mergeCell ref="B38:C38"/>
    <mergeCell ref="B39:C39"/>
    <mergeCell ref="A63:C63"/>
    <mergeCell ref="A64:C64"/>
    <mergeCell ref="B61:C62"/>
    <mergeCell ref="A2:C2"/>
    <mergeCell ref="B46:C46"/>
    <mergeCell ref="B47:C47"/>
    <mergeCell ref="A50:C50"/>
    <mergeCell ref="A51:C51"/>
    <mergeCell ref="B52:C52"/>
    <mergeCell ref="B45:C45"/>
    <mergeCell ref="B43:C43"/>
    <mergeCell ref="B44:C44"/>
    <mergeCell ref="B31:C31"/>
    <mergeCell ref="A32:C32"/>
    <mergeCell ref="A33:C33"/>
    <mergeCell ref="A34:C34"/>
  </mergeCells>
  <hyperlinks>
    <hyperlink ref="B8" r:id="rId1"/>
    <hyperlink ref="A64" r:id="rId2" location="n1190" display="n1190"/>
    <hyperlink ref="B9" r:id="rId3"/>
  </hyperlinks>
  <pageMargins left="0.7" right="0.7" top="0.75" bottom="0.75" header="0.3" footer="0.3"/>
  <pageSetup paperSize="9" scale="77" fitToHeight="0" orientation="portrait"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E276"/>
  <sheetViews>
    <sheetView view="pageBreakPreview" zoomScale="80" zoomScaleNormal="80" zoomScaleSheetLayoutView="80" workbookViewId="0">
      <selection activeCell="Q9" sqref="Q9"/>
    </sheetView>
  </sheetViews>
  <sheetFormatPr defaultRowHeight="15" x14ac:dyDescent="0.25"/>
  <cols>
    <col min="1" max="1" width="4.28515625" style="119" customWidth="1"/>
    <col min="2" max="2" width="24.85546875" style="119" hidden="1" customWidth="1"/>
    <col min="3" max="3" width="30.42578125" style="119" customWidth="1"/>
    <col min="4" max="4" width="14" style="119" customWidth="1"/>
    <col min="5" max="5" width="14.28515625" style="119" customWidth="1"/>
    <col min="6" max="6" width="14.7109375" style="119" customWidth="1"/>
    <col min="7" max="7" width="13.28515625" style="119" customWidth="1"/>
    <col min="8" max="8" width="21.7109375" style="119" customWidth="1"/>
    <col min="9" max="9" width="16.7109375" style="119" customWidth="1"/>
    <col min="10" max="10" width="17.28515625" style="119" customWidth="1"/>
    <col min="11" max="11" width="13.85546875" style="119" customWidth="1"/>
    <col min="12" max="12" width="17.140625" style="119" customWidth="1"/>
    <col min="13" max="13" width="18.140625" style="119" customWidth="1"/>
    <col min="14" max="14" width="15.7109375" style="119" customWidth="1"/>
    <col min="15" max="15" width="16" style="119" customWidth="1"/>
    <col min="16" max="16" width="12.28515625" style="119" customWidth="1"/>
    <col min="17" max="17" width="13.5703125" style="119" customWidth="1"/>
    <col min="18" max="18" width="13.5703125" style="119" hidden="1" customWidth="1"/>
    <col min="19" max="21" width="9.140625" style="119" hidden="1" customWidth="1"/>
    <col min="22" max="22" width="10.85546875" style="119" hidden="1" customWidth="1"/>
    <col min="23" max="24" width="9.140625" style="119" hidden="1" customWidth="1"/>
    <col min="25" max="25" width="12.42578125" style="119" hidden="1" customWidth="1"/>
    <col min="26" max="26" width="20.5703125" style="119" hidden="1" customWidth="1"/>
    <col min="27" max="28" width="9.140625" style="119" hidden="1" customWidth="1"/>
    <col min="29" max="31" width="8.7109375" style="119" hidden="1" customWidth="1"/>
    <col min="32" max="32" width="8.7109375" style="119" customWidth="1"/>
    <col min="33" max="16384" width="9.140625" style="119"/>
  </cols>
  <sheetData>
    <row r="1" spans="1:31" ht="23.25" x14ac:dyDescent="0.35">
      <c r="A1" s="117" t="s">
        <v>82</v>
      </c>
      <c r="B1" s="117"/>
      <c r="C1" s="117"/>
      <c r="D1" s="117"/>
      <c r="E1" s="117"/>
      <c r="F1" s="117"/>
      <c r="G1" s="117"/>
      <c r="H1" s="117"/>
      <c r="I1" s="117"/>
      <c r="J1" s="117"/>
      <c r="K1" s="117"/>
      <c r="L1" s="117"/>
      <c r="M1" s="117"/>
      <c r="N1" s="117"/>
      <c r="O1" s="117"/>
      <c r="P1" s="117"/>
      <c r="Q1" s="117"/>
      <c r="R1" s="118"/>
      <c r="Y1" s="119" t="s">
        <v>124</v>
      </c>
      <c r="Z1" s="119" t="s">
        <v>125</v>
      </c>
    </row>
    <row r="2" spans="1:31" x14ac:dyDescent="0.25">
      <c r="A2" s="120"/>
      <c r="B2" s="120"/>
      <c r="C2" s="295" t="s">
        <v>163</v>
      </c>
      <c r="D2" s="120"/>
      <c r="E2" s="120"/>
      <c r="F2" s="121"/>
      <c r="G2" s="122"/>
      <c r="H2" s="120"/>
      <c r="I2" s="120"/>
      <c r="J2" s="120"/>
      <c r="K2" s="120"/>
      <c r="L2" s="120"/>
      <c r="M2" s="120"/>
      <c r="N2" s="120"/>
      <c r="O2" s="120"/>
      <c r="P2" s="120"/>
      <c r="Q2" s="120"/>
      <c r="R2" s="120"/>
      <c r="X2" s="119">
        <v>1</v>
      </c>
      <c r="Y2" s="123">
        <f>O8+O10</f>
        <v>7250</v>
      </c>
      <c r="Z2" s="123">
        <f>Y2-O8</f>
        <v>3500</v>
      </c>
      <c r="AD2" s="119">
        <v>1</v>
      </c>
      <c r="AE2" s="123">
        <f>N14</f>
        <v>0</v>
      </c>
    </row>
    <row r="3" spans="1:31" x14ac:dyDescent="0.25">
      <c r="A3" s="120"/>
      <c r="B3" s="122" t="s">
        <v>40</v>
      </c>
      <c r="C3" s="124" t="s">
        <v>40</v>
      </c>
      <c r="D3" s="125">
        <f ca="1">F3</f>
        <v>44523</v>
      </c>
      <c r="E3" s="126"/>
      <c r="F3" s="127">
        <f ca="1">TODAY()</f>
        <v>44523</v>
      </c>
      <c r="G3" s="128"/>
      <c r="H3" s="129" t="s">
        <v>92</v>
      </c>
      <c r="I3" s="129"/>
      <c r="J3" s="129"/>
      <c r="K3" s="129"/>
      <c r="L3" s="129"/>
      <c r="M3" s="129"/>
      <c r="N3" s="130">
        <v>0.01</v>
      </c>
      <c r="O3" s="130"/>
      <c r="P3" s="131">
        <f>N3</f>
        <v>0.01</v>
      </c>
      <c r="Q3" s="120"/>
      <c r="R3" s="120"/>
      <c r="X3" s="132">
        <v>2</v>
      </c>
      <c r="Y3" s="133">
        <f>IF($F$8&gt;12,K37,0)</f>
        <v>7250</v>
      </c>
      <c r="Z3" s="123">
        <f>IF(Y3&gt;0,$Z$2,0)</f>
        <v>3500</v>
      </c>
      <c r="AD3" s="132">
        <v>2</v>
      </c>
      <c r="AE3" s="133">
        <f>IF($F$8&gt;12,N37,0)</f>
        <v>0</v>
      </c>
    </row>
    <row r="4" spans="1:31" x14ac:dyDescent="0.25">
      <c r="A4" s="120"/>
      <c r="B4" s="122" t="s">
        <v>45</v>
      </c>
      <c r="C4" s="124" t="s">
        <v>91</v>
      </c>
      <c r="D4" s="134">
        <f t="shared" ref="D4:D9" si="0">F4</f>
        <v>1500000</v>
      </c>
      <c r="E4" s="126"/>
      <c r="F4" s="62">
        <v>1500000</v>
      </c>
      <c r="G4" s="121"/>
      <c r="H4" s="135" t="s">
        <v>56</v>
      </c>
      <c r="I4" s="135"/>
      <c r="J4" s="135"/>
      <c r="K4" s="135"/>
      <c r="L4" s="135"/>
      <c r="M4" s="135"/>
      <c r="N4" s="136">
        <f>N3*F7</f>
        <v>10000</v>
      </c>
      <c r="O4" s="136"/>
      <c r="P4" s="137">
        <f>N4</f>
        <v>10000</v>
      </c>
      <c r="Q4" s="120"/>
      <c r="R4" s="120"/>
      <c r="X4" s="132">
        <v>3</v>
      </c>
      <c r="Y4" s="133">
        <f>IF($F$8&gt;24,K49,0)</f>
        <v>7250</v>
      </c>
      <c r="Z4" s="123">
        <f t="shared" ref="Z4:Z21" si="1">IF(Y4&gt;0,$Z$2,0)</f>
        <v>3500</v>
      </c>
      <c r="AD4" s="132">
        <v>3</v>
      </c>
      <c r="AE4" s="133">
        <f>IF($F$8&gt;24,N49,0)</f>
        <v>0</v>
      </c>
    </row>
    <row r="5" spans="1:31" ht="15" customHeight="1" x14ac:dyDescent="0.25">
      <c r="A5" s="120"/>
      <c r="B5" s="122" t="s">
        <v>44</v>
      </c>
      <c r="C5" s="124" t="s">
        <v>44</v>
      </c>
      <c r="D5" s="134">
        <f t="shared" si="0"/>
        <v>500000</v>
      </c>
      <c r="E5" s="126"/>
      <c r="F5" s="62">
        <v>500000</v>
      </c>
      <c r="G5" s="138"/>
      <c r="H5" s="139" t="s">
        <v>90</v>
      </c>
      <c r="I5" s="140"/>
      <c r="J5" s="140"/>
      <c r="K5" s="140"/>
      <c r="L5" s="140"/>
      <c r="M5" s="140"/>
      <c r="N5" s="136">
        <v>0</v>
      </c>
      <c r="O5" s="136"/>
      <c r="P5" s="137">
        <f>N5</f>
        <v>0</v>
      </c>
      <c r="Q5" s="120"/>
      <c r="R5" s="120"/>
      <c r="X5" s="132">
        <v>4</v>
      </c>
      <c r="Y5" s="133">
        <f>IF($F$8&gt;36,K61,0)</f>
        <v>7250</v>
      </c>
      <c r="Z5" s="123">
        <f t="shared" si="1"/>
        <v>3500</v>
      </c>
      <c r="AD5" s="132">
        <v>4</v>
      </c>
      <c r="AE5" s="133">
        <f>IF($F$8&gt;36,N61,0)</f>
        <v>0</v>
      </c>
    </row>
    <row r="6" spans="1:31" ht="15" customHeight="1" x14ac:dyDescent="0.25">
      <c r="A6" s="120"/>
      <c r="B6" s="122" t="s">
        <v>46</v>
      </c>
      <c r="C6" s="124" t="s">
        <v>46</v>
      </c>
      <c r="D6" s="141">
        <f t="shared" si="0"/>
        <v>0.33333333333333331</v>
      </c>
      <c r="E6" s="126"/>
      <c r="F6" s="142">
        <f>F5/F4</f>
        <v>0.33333333333333331</v>
      </c>
      <c r="G6" s="143"/>
      <c r="H6" s="61" t="s">
        <v>109</v>
      </c>
      <c r="I6" s="79" t="s">
        <v>115</v>
      </c>
      <c r="J6" s="79"/>
      <c r="K6" s="79"/>
      <c r="L6" s="79"/>
      <c r="M6" s="79"/>
      <c r="N6" s="144"/>
      <c r="O6" s="144"/>
      <c r="P6" s="145"/>
      <c r="Q6" s="120"/>
      <c r="R6" s="120"/>
      <c r="X6" s="132">
        <v>5</v>
      </c>
      <c r="Y6" s="133">
        <f>IF($F$8&gt;48,K73,0)</f>
        <v>7250</v>
      </c>
      <c r="Z6" s="123">
        <f t="shared" si="1"/>
        <v>3500</v>
      </c>
      <c r="AD6" s="132">
        <v>5</v>
      </c>
      <c r="AE6" s="133">
        <f>IF($F$8&gt;48,N73,0)</f>
        <v>0</v>
      </c>
    </row>
    <row r="7" spans="1:31" x14ac:dyDescent="0.25">
      <c r="A7" s="120"/>
      <c r="B7" s="122" t="s">
        <v>43</v>
      </c>
      <c r="C7" s="124" t="s">
        <v>43</v>
      </c>
      <c r="D7" s="134">
        <f t="shared" si="0"/>
        <v>1000000</v>
      </c>
      <c r="E7" s="126"/>
      <c r="F7" s="146">
        <f>F4-F5</f>
        <v>1000000</v>
      </c>
      <c r="G7" s="143"/>
      <c r="H7" s="49"/>
      <c r="I7" s="147" t="s">
        <v>116</v>
      </c>
      <c r="J7" s="148"/>
      <c r="K7" s="148"/>
      <c r="L7" s="148"/>
      <c r="M7" s="149" t="s">
        <v>133</v>
      </c>
      <c r="N7" s="150">
        <v>10000</v>
      </c>
      <c r="O7" s="151"/>
      <c r="P7" s="137">
        <f>N7</f>
        <v>10000</v>
      </c>
      <c r="Q7" s="152"/>
      <c r="R7" s="152"/>
      <c r="X7" s="153">
        <v>6</v>
      </c>
      <c r="Y7" s="133">
        <f>IF($F$8&gt;60,K85,0)</f>
        <v>0</v>
      </c>
      <c r="Z7" s="123">
        <f t="shared" si="1"/>
        <v>0</v>
      </c>
      <c r="AD7" s="153">
        <v>6</v>
      </c>
      <c r="AE7" s="133">
        <f>IF($F$8&gt;60,N85,0)</f>
        <v>0</v>
      </c>
    </row>
    <row r="8" spans="1:31" x14ac:dyDescent="0.25">
      <c r="A8" s="120"/>
      <c r="B8" s="122" t="s">
        <v>42</v>
      </c>
      <c r="C8" s="124" t="s">
        <v>42</v>
      </c>
      <c r="D8" s="134">
        <f t="shared" si="0"/>
        <v>60</v>
      </c>
      <c r="E8" s="126"/>
      <c r="F8" s="63">
        <v>60</v>
      </c>
      <c r="G8" s="154">
        <f>F8/12</f>
        <v>5</v>
      </c>
      <c r="H8" s="49"/>
      <c r="I8" s="147" t="s">
        <v>117</v>
      </c>
      <c r="J8" s="148"/>
      <c r="K8" s="148"/>
      <c r="L8" s="148"/>
      <c r="M8" s="155" t="s">
        <v>134</v>
      </c>
      <c r="N8" s="142">
        <v>2.5000000000000001E-3</v>
      </c>
      <c r="O8" s="156">
        <f>N8*F4</f>
        <v>3750</v>
      </c>
      <c r="P8" s="137">
        <f>O8</f>
        <v>3750</v>
      </c>
      <c r="Q8" s="152"/>
      <c r="R8" s="152"/>
      <c r="T8" s="119" t="s">
        <v>80</v>
      </c>
      <c r="X8" s="132">
        <v>7</v>
      </c>
      <c r="Y8" s="133">
        <f>IF($F$8&gt;72,K97,0)</f>
        <v>0</v>
      </c>
      <c r="Z8" s="123">
        <f t="shared" si="1"/>
        <v>0</v>
      </c>
      <c r="AA8" s="119" t="s">
        <v>60</v>
      </c>
      <c r="AB8" s="119">
        <v>1700</v>
      </c>
      <c r="AD8" s="132">
        <v>7</v>
      </c>
      <c r="AE8" s="133">
        <f>IF($F$8&gt;72,N97,0)</f>
        <v>0</v>
      </c>
    </row>
    <row r="9" spans="1:31" x14ac:dyDescent="0.25">
      <c r="A9" s="120"/>
      <c r="B9" s="122" t="s">
        <v>41</v>
      </c>
      <c r="C9" s="124" t="s">
        <v>41</v>
      </c>
      <c r="D9" s="141">
        <f t="shared" si="0"/>
        <v>0.2</v>
      </c>
      <c r="E9" s="126"/>
      <c r="F9" s="142">
        <v>0.2</v>
      </c>
      <c r="G9" s="157">
        <f>F12+F13</f>
        <v>0.18770000000000001</v>
      </c>
      <c r="H9" s="49"/>
      <c r="I9" s="158" t="s">
        <v>118</v>
      </c>
      <c r="J9" s="159"/>
      <c r="K9" s="159"/>
      <c r="L9" s="159"/>
      <c r="M9" s="159"/>
      <c r="N9" s="150">
        <f>Y22-Z22</f>
        <v>18750</v>
      </c>
      <c r="O9" s="151"/>
      <c r="P9" s="137">
        <f>N9</f>
        <v>18750</v>
      </c>
      <c r="Q9" s="152"/>
      <c r="R9" s="152"/>
      <c r="T9" s="119" t="s">
        <v>81</v>
      </c>
      <c r="X9" s="132">
        <v>8</v>
      </c>
      <c r="Y9" s="133">
        <f>IF($F$8&gt;84,K109,0)</f>
        <v>0</v>
      </c>
      <c r="Z9" s="123">
        <f t="shared" si="1"/>
        <v>0</v>
      </c>
      <c r="AD9" s="132">
        <v>8</v>
      </c>
      <c r="AE9" s="133">
        <f>IF($F$8&gt;84,N109,0)</f>
        <v>0</v>
      </c>
    </row>
    <row r="10" spans="1:31" ht="17.25" customHeight="1" x14ac:dyDescent="0.25">
      <c r="A10" s="120"/>
      <c r="B10" s="120"/>
      <c r="C10" s="124" t="s">
        <v>131</v>
      </c>
      <c r="D10" s="125">
        <f ca="1">EDATE(F3,F8)</f>
        <v>46349</v>
      </c>
      <c r="E10" s="126"/>
      <c r="F10" s="127">
        <f ca="1">EDATE(F3,F8)-1</f>
        <v>46348</v>
      </c>
      <c r="G10" s="3"/>
      <c r="H10" s="49"/>
      <c r="I10" s="147" t="s">
        <v>119</v>
      </c>
      <c r="J10" s="148"/>
      <c r="K10" s="148"/>
      <c r="L10" s="148"/>
      <c r="M10" s="155" t="s">
        <v>134</v>
      </c>
      <c r="N10" s="142">
        <v>3.5000000000000001E-3</v>
      </c>
      <c r="O10" s="156">
        <f>N10*F7</f>
        <v>3500</v>
      </c>
      <c r="P10" s="137">
        <f>O10</f>
        <v>3500</v>
      </c>
      <c r="Q10" s="45"/>
      <c r="R10" s="45"/>
      <c r="S10" s="2"/>
      <c r="X10" s="132">
        <v>9</v>
      </c>
      <c r="Y10" s="133">
        <f>IF($F$8&gt;96,K121,0)</f>
        <v>0</v>
      </c>
      <c r="Z10" s="123">
        <f t="shared" si="1"/>
        <v>0</v>
      </c>
      <c r="AB10" s="119">
        <f>F4/AB8</f>
        <v>882.35294117647061</v>
      </c>
      <c r="AD10" s="132">
        <v>9</v>
      </c>
      <c r="AE10" s="133">
        <f>IF($F$8&gt;96,N121,0)</f>
        <v>0</v>
      </c>
    </row>
    <row r="11" spans="1:31" ht="27.75" customHeight="1" x14ac:dyDescent="0.25">
      <c r="A11" s="120"/>
      <c r="B11" s="120"/>
      <c r="C11" s="160" t="s">
        <v>59</v>
      </c>
      <c r="D11" s="161">
        <f ca="1">EDATE(D3,60)</f>
        <v>46349</v>
      </c>
      <c r="E11" s="152"/>
      <c r="F11" s="161">
        <f ca="1">EDATE(D3,60)</f>
        <v>46349</v>
      </c>
      <c r="G11" s="40"/>
      <c r="H11" s="49"/>
      <c r="I11" s="158" t="s">
        <v>120</v>
      </c>
      <c r="J11" s="159"/>
      <c r="K11" s="159"/>
      <c r="L11" s="159"/>
      <c r="M11" s="159"/>
      <c r="N11" s="150">
        <f>Z22</f>
        <v>17500</v>
      </c>
      <c r="O11" s="151"/>
      <c r="P11" s="137">
        <f>N11</f>
        <v>17500</v>
      </c>
      <c r="Q11" s="45"/>
      <c r="R11" s="45"/>
      <c r="S11" s="2"/>
      <c r="X11" s="132">
        <v>10</v>
      </c>
      <c r="Y11" s="133">
        <f>IF($F$8&gt;108,K133,0)</f>
        <v>0</v>
      </c>
      <c r="Z11" s="123">
        <f t="shared" si="1"/>
        <v>0</v>
      </c>
      <c r="AD11" s="132">
        <v>10</v>
      </c>
      <c r="AE11" s="133">
        <f>IF($F$8&gt;108,N133,0)</f>
        <v>0</v>
      </c>
    </row>
    <row r="12" spans="1:31" ht="29.25" customHeight="1" x14ac:dyDescent="0.25">
      <c r="A12" s="120"/>
      <c r="B12" s="120"/>
      <c r="C12" s="160" t="s">
        <v>96</v>
      </c>
      <c r="D12" s="157"/>
      <c r="E12" s="152"/>
      <c r="F12" s="157">
        <v>0.15770000000000001</v>
      </c>
      <c r="G12" s="64"/>
      <c r="H12" s="49"/>
      <c r="I12" s="147" t="s">
        <v>121</v>
      </c>
      <c r="J12" s="148"/>
      <c r="K12" s="148"/>
      <c r="L12" s="148"/>
      <c r="M12" s="149" t="s">
        <v>133</v>
      </c>
      <c r="N12" s="150">
        <v>2000</v>
      </c>
      <c r="O12" s="151"/>
      <c r="P12" s="137">
        <f>N12</f>
        <v>2000</v>
      </c>
      <c r="Q12" s="44"/>
      <c r="R12" s="45"/>
      <c r="S12" s="2"/>
      <c r="X12" s="132">
        <v>11</v>
      </c>
      <c r="Y12" s="133">
        <f>IF($F$8&gt;120,K145,0)</f>
        <v>0</v>
      </c>
      <c r="Z12" s="123">
        <f t="shared" si="1"/>
        <v>0</v>
      </c>
      <c r="AD12" s="132">
        <v>11</v>
      </c>
      <c r="AE12" s="133">
        <f>IF($F$8&gt;120,N145,0)</f>
        <v>0</v>
      </c>
    </row>
    <row r="13" spans="1:31" ht="15.75" customHeight="1" x14ac:dyDescent="0.25">
      <c r="A13" s="152"/>
      <c r="B13" s="152"/>
      <c r="C13" s="160" t="s">
        <v>58</v>
      </c>
      <c r="D13" s="152"/>
      <c r="E13" s="152"/>
      <c r="F13" s="157">
        <v>0.03</v>
      </c>
      <c r="G13" s="65"/>
      <c r="H13" s="49"/>
      <c r="I13" s="162" t="s">
        <v>113</v>
      </c>
      <c r="J13" s="163"/>
      <c r="K13" s="163"/>
      <c r="L13" s="163"/>
      <c r="M13" s="163"/>
      <c r="N13" s="150">
        <v>0</v>
      </c>
      <c r="O13" s="151"/>
      <c r="P13" s="137">
        <f>N13</f>
        <v>0</v>
      </c>
      <c r="Q13" s="4"/>
      <c r="R13" s="4"/>
      <c r="S13" s="1"/>
      <c r="X13" s="132">
        <v>12</v>
      </c>
      <c r="Y13" s="133">
        <f>IF($F$8&gt;132,K157,0)</f>
        <v>0</v>
      </c>
      <c r="Z13" s="123">
        <f t="shared" si="1"/>
        <v>0</v>
      </c>
      <c r="AD13" s="132">
        <v>12</v>
      </c>
      <c r="AE13" s="133">
        <f>IF($F$8&gt;132,N157,0)</f>
        <v>0</v>
      </c>
    </row>
    <row r="14" spans="1:31" x14ac:dyDescent="0.25">
      <c r="A14" s="152"/>
      <c r="B14" s="152"/>
      <c r="C14" s="160" t="s">
        <v>59</v>
      </c>
      <c r="D14" s="152"/>
      <c r="E14" s="152"/>
      <c r="F14" s="164">
        <f ca="1">EDATE(F3,60)</f>
        <v>46349</v>
      </c>
      <c r="G14" s="66"/>
      <c r="H14" s="165" t="s">
        <v>155</v>
      </c>
      <c r="I14" s="166"/>
      <c r="J14" s="167"/>
      <c r="K14" s="167"/>
      <c r="L14" s="167"/>
      <c r="M14" s="168"/>
      <c r="N14" s="151">
        <v>0</v>
      </c>
      <c r="O14" s="136"/>
      <c r="P14" s="137">
        <f>N14</f>
        <v>0</v>
      </c>
      <c r="Q14" s="4"/>
      <c r="R14" s="4"/>
      <c r="S14" s="1"/>
      <c r="X14" s="132">
        <v>13</v>
      </c>
      <c r="Y14" s="133">
        <f>IF($F$8&gt;144,K169,0)</f>
        <v>0</v>
      </c>
      <c r="Z14" s="123">
        <f t="shared" si="1"/>
        <v>0</v>
      </c>
      <c r="AD14" s="132">
        <v>13</v>
      </c>
      <c r="AE14" s="133">
        <f>IF($F$8&gt;144,N169,0)</f>
        <v>0</v>
      </c>
    </row>
    <row r="15" spans="1:31" ht="14.25" customHeight="1" x14ac:dyDescent="0.25">
      <c r="A15" s="152"/>
      <c r="B15" s="152"/>
      <c r="C15" s="160" t="s">
        <v>127</v>
      </c>
      <c r="D15" s="152"/>
      <c r="E15" s="152"/>
      <c r="F15" s="157">
        <v>8.1699999999999995E-2</v>
      </c>
      <c r="G15" s="67"/>
      <c r="H15" s="169"/>
      <c r="I15" s="68"/>
      <c r="J15" s="69"/>
      <c r="K15" s="69"/>
      <c r="L15" s="69"/>
      <c r="M15" s="70"/>
      <c r="N15" s="151">
        <f>AE22</f>
        <v>0</v>
      </c>
      <c r="O15" s="136"/>
      <c r="P15" s="170"/>
      <c r="Q15" s="3"/>
      <c r="R15" s="3"/>
      <c r="S15" s="2"/>
      <c r="X15" s="132">
        <v>14</v>
      </c>
      <c r="Y15" s="133">
        <f>IF($F$8&gt;156,K181,0)</f>
        <v>0</v>
      </c>
      <c r="Z15" s="123">
        <f t="shared" si="1"/>
        <v>0</v>
      </c>
      <c r="AB15" s="119" t="str">
        <f>IF(AB10&lt;165,"3%",IF(AB10&gt;290,"5%","4%"))</f>
        <v>5%</v>
      </c>
      <c r="AD15" s="132">
        <v>14</v>
      </c>
      <c r="AE15" s="133">
        <f>IF($F$8&gt;156,N181,0)</f>
        <v>0</v>
      </c>
    </row>
    <row r="16" spans="1:31" hidden="1" x14ac:dyDescent="0.25">
      <c r="A16" s="152"/>
      <c r="B16" s="152"/>
      <c r="C16" s="152" t="s">
        <v>58</v>
      </c>
      <c r="D16" s="152"/>
      <c r="E16" s="152"/>
      <c r="F16" s="157">
        <v>0.05</v>
      </c>
      <c r="G16" s="67"/>
      <c r="H16" s="48"/>
      <c r="I16" s="48"/>
      <c r="J16" s="48"/>
      <c r="K16" s="48"/>
      <c r="L16" s="48"/>
      <c r="M16" s="3"/>
      <c r="N16" s="3"/>
      <c r="O16" s="3"/>
      <c r="P16" s="171"/>
      <c r="Q16" s="3"/>
      <c r="R16" s="3"/>
      <c r="S16" s="2"/>
      <c r="X16" s="132">
        <v>15</v>
      </c>
      <c r="Y16" s="133">
        <f>IF($F$8&gt;168,K193,0)</f>
        <v>0</v>
      </c>
      <c r="Z16" s="123">
        <f t="shared" si="1"/>
        <v>0</v>
      </c>
      <c r="AD16" s="132">
        <v>15</v>
      </c>
      <c r="AE16" s="133">
        <f>IF($F$8&gt;168,N193,0)</f>
        <v>0</v>
      </c>
    </row>
    <row r="17" spans="1:31" hidden="1" x14ac:dyDescent="0.25">
      <c r="A17" s="152"/>
      <c r="B17" s="152"/>
      <c r="C17" s="152" t="s">
        <v>128</v>
      </c>
      <c r="D17" s="157">
        <f>F17</f>
        <v>0.13169999999999998</v>
      </c>
      <c r="E17" s="152"/>
      <c r="F17" s="157">
        <f>F15+F16</f>
        <v>0.13169999999999998</v>
      </c>
      <c r="G17" s="67"/>
      <c r="H17" s="48"/>
      <c r="I17" s="48"/>
      <c r="J17" s="48"/>
      <c r="K17" s="48"/>
      <c r="L17" s="48"/>
      <c r="M17" s="3"/>
      <c r="N17" s="3"/>
      <c r="O17" s="3"/>
      <c r="P17" s="171"/>
      <c r="Q17" s="3"/>
      <c r="R17" s="3"/>
      <c r="S17" s="2"/>
      <c r="X17" s="132">
        <v>16</v>
      </c>
      <c r="Y17" s="133">
        <f>IF($F$8&gt;180,K205,0)</f>
        <v>0</v>
      </c>
      <c r="Z17" s="123">
        <f t="shared" si="1"/>
        <v>0</v>
      </c>
      <c r="AD17" s="132">
        <v>16</v>
      </c>
      <c r="AE17" s="133">
        <f>IF($F$8&gt;180,N205,0)</f>
        <v>0</v>
      </c>
    </row>
    <row r="18" spans="1:31" hidden="1" x14ac:dyDescent="0.25">
      <c r="A18" s="152"/>
      <c r="B18" s="152"/>
      <c r="C18" s="152"/>
      <c r="D18" s="152"/>
      <c r="E18" s="152"/>
      <c r="F18" s="172" t="e">
        <f>-PMT(F17/12,(F8-60),(F7-(SUM(F25:F84))))</f>
        <v>#NUM!</v>
      </c>
      <c r="G18" s="67"/>
      <c r="H18" s="48"/>
      <c r="I18" s="48"/>
      <c r="J18" s="48"/>
      <c r="K18" s="48"/>
      <c r="L18" s="48"/>
      <c r="M18" s="3"/>
      <c r="N18" s="3"/>
      <c r="O18" s="3"/>
      <c r="P18" s="171"/>
      <c r="Q18" s="3"/>
      <c r="R18" s="3"/>
      <c r="S18" s="2"/>
      <c r="X18" s="132">
        <v>17</v>
      </c>
      <c r="Y18" s="133">
        <f>IF($F$8&gt;192,K217,0)</f>
        <v>0</v>
      </c>
      <c r="Z18" s="123">
        <f t="shared" si="1"/>
        <v>0</v>
      </c>
      <c r="AD18" s="132">
        <v>17</v>
      </c>
      <c r="AE18" s="133">
        <f>IF($F$8&gt;192,N217,0)</f>
        <v>0</v>
      </c>
    </row>
    <row r="19" spans="1:31" hidden="1" x14ac:dyDescent="0.25">
      <c r="A19" s="152"/>
      <c r="B19" s="152"/>
      <c r="C19" s="152"/>
      <c r="D19" s="152"/>
      <c r="E19" s="164">
        <f ca="1">EDATE(F3,F8)</f>
        <v>46349</v>
      </c>
      <c r="F19" s="172">
        <v>0</v>
      </c>
      <c r="G19" s="67"/>
      <c r="H19" s="48"/>
      <c r="I19" s="48"/>
      <c r="J19" s="48"/>
      <c r="K19" s="48"/>
      <c r="L19" s="48"/>
      <c r="M19" s="3"/>
      <c r="N19" s="3"/>
      <c r="O19" s="3"/>
      <c r="P19" s="171"/>
      <c r="Q19" s="3"/>
      <c r="R19" s="3"/>
      <c r="S19" s="2"/>
      <c r="X19" s="132">
        <v>18</v>
      </c>
      <c r="Y19" s="133">
        <f>IF($F$8&gt;204,K229,0)</f>
        <v>0</v>
      </c>
      <c r="Z19" s="123">
        <f t="shared" si="1"/>
        <v>0</v>
      </c>
      <c r="AD19" s="132">
        <v>18</v>
      </c>
      <c r="AE19" s="133">
        <f>IF($F$8&gt;204,N229,0)</f>
        <v>0</v>
      </c>
    </row>
    <row r="20" spans="1:31" hidden="1" x14ac:dyDescent="0.25">
      <c r="A20" s="152"/>
      <c r="B20" s="152"/>
      <c r="C20" s="152"/>
      <c r="D20" s="152"/>
      <c r="E20" s="152"/>
      <c r="F20" s="172" t="e">
        <f>F18+F19</f>
        <v>#NUM!</v>
      </c>
      <c r="G20" s="67"/>
      <c r="H20" s="48"/>
      <c r="I20" s="48"/>
      <c r="J20" s="48"/>
      <c r="K20" s="48"/>
      <c r="L20" s="48"/>
      <c r="M20" s="3"/>
      <c r="N20" s="3"/>
      <c r="O20" s="3"/>
      <c r="P20" s="171"/>
      <c r="Q20" s="3"/>
      <c r="R20" s="3"/>
      <c r="S20" s="2"/>
      <c r="X20" s="132">
        <v>19</v>
      </c>
      <c r="Y20" s="133">
        <f>IF($F$8&gt;216,K241,0)</f>
        <v>0</v>
      </c>
      <c r="Z20" s="123">
        <f t="shared" si="1"/>
        <v>0</v>
      </c>
      <c r="AD20" s="132">
        <v>19</v>
      </c>
      <c r="AE20" s="133">
        <f>IF($F$8&gt;216,N241,0)</f>
        <v>0</v>
      </c>
    </row>
    <row r="21" spans="1:31" ht="18.75" customHeight="1" x14ac:dyDescent="0.25">
      <c r="A21" s="121"/>
      <c r="B21" s="120"/>
      <c r="C21" s="121"/>
      <c r="D21" s="121"/>
      <c r="E21" s="120"/>
      <c r="F21" s="120"/>
      <c r="G21" s="39"/>
      <c r="H21" s="39"/>
      <c r="I21" s="38"/>
      <c r="J21" s="38"/>
      <c r="K21" s="38"/>
      <c r="L21" s="38"/>
      <c r="M21" s="39"/>
      <c r="N21" s="39"/>
      <c r="O21" s="39"/>
      <c r="P21" s="39"/>
      <c r="Q21" s="4"/>
      <c r="R21" s="4"/>
      <c r="S21" s="1"/>
      <c r="X21" s="132">
        <v>20</v>
      </c>
      <c r="Y21" s="133">
        <f>IF($F$8&gt;228,K253,0)</f>
        <v>0</v>
      </c>
      <c r="Z21" s="123">
        <f t="shared" si="1"/>
        <v>0</v>
      </c>
      <c r="AD21" s="132">
        <v>20</v>
      </c>
      <c r="AE21" s="133">
        <f>IF($F$8&gt;228,N253,0)</f>
        <v>0</v>
      </c>
    </row>
    <row r="22" spans="1:31" ht="45.75" customHeight="1" x14ac:dyDescent="0.25">
      <c r="A22" s="198" t="s">
        <v>47</v>
      </c>
      <c r="B22" s="59" t="s">
        <v>48</v>
      </c>
      <c r="C22" s="77" t="s">
        <v>48</v>
      </c>
      <c r="D22" s="200" t="s">
        <v>49</v>
      </c>
      <c r="E22" s="196" t="s">
        <v>50</v>
      </c>
      <c r="F22" s="77" t="s">
        <v>52</v>
      </c>
      <c r="G22" s="77" t="s">
        <v>53</v>
      </c>
      <c r="H22" s="77" t="s">
        <v>54</v>
      </c>
      <c r="I22" s="74" t="s">
        <v>109</v>
      </c>
      <c r="J22" s="75"/>
      <c r="K22" s="75"/>
      <c r="L22" s="76"/>
      <c r="M22" s="77" t="s">
        <v>55</v>
      </c>
      <c r="N22" s="77" t="s">
        <v>114</v>
      </c>
      <c r="O22" s="77" t="s">
        <v>123</v>
      </c>
      <c r="P22" s="77" t="s">
        <v>87</v>
      </c>
      <c r="Q22" s="77" t="s">
        <v>86</v>
      </c>
      <c r="R22" s="72" t="s">
        <v>126</v>
      </c>
      <c r="S22" s="1"/>
      <c r="Y22" s="123">
        <f>SUM(Y2:Y21)</f>
        <v>36250</v>
      </c>
      <c r="Z22" s="123">
        <f>SUM(Z2:Z21)</f>
        <v>17500</v>
      </c>
      <c r="AE22" s="123">
        <f>SUM(AE2:AE21)</f>
        <v>0</v>
      </c>
    </row>
    <row r="23" spans="1:31" ht="34.5" customHeight="1" x14ac:dyDescent="0.25">
      <c r="A23" s="199"/>
      <c r="B23" s="60"/>
      <c r="C23" s="78"/>
      <c r="D23" s="200"/>
      <c r="E23" s="197"/>
      <c r="F23" s="78"/>
      <c r="G23" s="78"/>
      <c r="H23" s="78"/>
      <c r="I23" s="71" t="s">
        <v>110</v>
      </c>
      <c r="J23" s="71" t="s">
        <v>111</v>
      </c>
      <c r="K23" s="71" t="s">
        <v>112</v>
      </c>
      <c r="L23" s="71" t="s">
        <v>113</v>
      </c>
      <c r="M23" s="78"/>
      <c r="N23" s="78"/>
      <c r="O23" s="78"/>
      <c r="P23" s="78"/>
      <c r="Q23" s="78"/>
      <c r="R23" s="73"/>
      <c r="S23" s="1"/>
      <c r="X23" s="132"/>
      <c r="Y23" s="133"/>
      <c r="Z23" s="123"/>
    </row>
    <row r="24" spans="1:31" x14ac:dyDescent="0.25">
      <c r="A24" s="56"/>
      <c r="B24" s="173">
        <f ca="1">D3</f>
        <v>44523</v>
      </c>
      <c r="C24" s="173">
        <f t="shared" ref="C24" ca="1" si="2">IF(A24&gt;$D$8,"",B24)</f>
        <v>44523</v>
      </c>
      <c r="D24" s="56"/>
      <c r="E24" s="174">
        <f>IF(Q8="кредит",D7+P8,D7)</f>
        <v>1000000</v>
      </c>
      <c r="F24" s="56"/>
      <c r="G24" s="56"/>
      <c r="H24" s="175">
        <f>-E24+I24+J24+K24+L24+M24+N24+O24</f>
        <v>-970750</v>
      </c>
      <c r="I24" s="176">
        <f>P7</f>
        <v>10000</v>
      </c>
      <c r="J24" s="176">
        <f>P12</f>
        <v>2000</v>
      </c>
      <c r="K24" s="176">
        <f>O8+O10</f>
        <v>7250</v>
      </c>
      <c r="L24" s="176">
        <f>P13</f>
        <v>0</v>
      </c>
      <c r="M24" s="174">
        <f>N4</f>
        <v>10000</v>
      </c>
      <c r="N24" s="174">
        <f>N14</f>
        <v>0</v>
      </c>
      <c r="O24" s="174">
        <f>N5</f>
        <v>0</v>
      </c>
      <c r="P24" s="57"/>
      <c r="Q24" s="58"/>
      <c r="R24" s="177">
        <f>H24</f>
        <v>-970750</v>
      </c>
      <c r="S24" s="5"/>
      <c r="T24" s="178">
        <f ca="1">T25</f>
        <v>365</v>
      </c>
      <c r="U24" s="178"/>
      <c r="V24" s="178"/>
      <c r="W24" s="178"/>
      <c r="X24" s="132"/>
      <c r="Y24" s="133"/>
      <c r="Z24" s="123"/>
    </row>
    <row r="25" spans="1:31" x14ac:dyDescent="0.25">
      <c r="A25" s="179">
        <v>1</v>
      </c>
      <c r="B25" s="173">
        <f ca="1">EDATE($B$24,A25)</f>
        <v>44553</v>
      </c>
      <c r="C25" s="173">
        <f ca="1">IF(A25&gt;$F$8,"",B25)</f>
        <v>44553</v>
      </c>
      <c r="D25" s="179">
        <f t="shared" ref="D25:D36" ca="1" si="3">B25-B24</f>
        <v>30</v>
      </c>
      <c r="E25" s="174">
        <f>E24-F25</f>
        <v>983333.33333333337</v>
      </c>
      <c r="F25" s="174">
        <f>$E$24/$D$8</f>
        <v>16666.666666666668</v>
      </c>
      <c r="G25" s="174">
        <f ca="1">IF(T25&lt;&gt;T24,ROUND(SUM(V25*$F$9*E24/T25,W25*$F$9*E24/T24),2),ROUND(E24*$F$9*D25/T24,2))</f>
        <v>16438.36</v>
      </c>
      <c r="H25" s="174">
        <f ca="1">F25+G25</f>
        <v>33105.026666666672</v>
      </c>
      <c r="I25" s="180"/>
      <c r="J25" s="180"/>
      <c r="K25" s="180"/>
      <c r="L25" s="180"/>
      <c r="M25" s="179"/>
      <c r="N25" s="179"/>
      <c r="O25" s="179"/>
      <c r="P25" s="181" t="str">
        <f>IF(A24=$D$8,XIRR(H$24:H24,C$24:C24),"")</f>
        <v/>
      </c>
      <c r="Q25" s="182"/>
      <c r="R25" s="177">
        <f ca="1">SUM(H25:Q25)</f>
        <v>33105.026666666672</v>
      </c>
      <c r="S25" s="178">
        <f ca="1">IF(C25="","",YEAR(C25))</f>
        <v>2021</v>
      </c>
      <c r="T25" s="178">
        <f ca="1">IF(OR(S25=2024,S25=2028,S25=2016,S25=2020,S25=2024,S25=2028,S25=2032,S25=2036,S25=2040),366,365)</f>
        <v>365</v>
      </c>
      <c r="U25" s="178">
        <f ca="1">IF(C25="","",DAY(C25))</f>
        <v>23</v>
      </c>
      <c r="V25" s="183">
        <f ca="1">U25-1</f>
        <v>22</v>
      </c>
      <c r="W25" s="184">
        <f ca="1">D25-V25</f>
        <v>8</v>
      </c>
      <c r="X25" s="132"/>
      <c r="Y25" s="133"/>
      <c r="Z25" s="123"/>
    </row>
    <row r="26" spans="1:31" x14ac:dyDescent="0.25">
      <c r="A26" s="179">
        <f>IF(A25&lt;$D$8,A25+1,"")</f>
        <v>2</v>
      </c>
      <c r="B26" s="173">
        <f t="shared" ref="B26:B89" ca="1" si="4">EDATE($B$24,A26)</f>
        <v>44584</v>
      </c>
      <c r="C26" s="173">
        <f t="shared" ref="C26:C89" ca="1" si="5">IF(B26=$D$10,B26-1,(IF(B26&gt;$D$10," ",B26)))</f>
        <v>44584</v>
      </c>
      <c r="D26" s="179">
        <f t="shared" ca="1" si="3"/>
        <v>31</v>
      </c>
      <c r="E26" s="174">
        <f>E25-F26</f>
        <v>966666.66333333333</v>
      </c>
      <c r="F26" s="174">
        <f>ROUND($E$24/$D$8,2)</f>
        <v>16666.669999999998</v>
      </c>
      <c r="G26" s="174">
        <f ca="1">IF(A25=$D$8,ROUND(SUM($G$25:G25),2),IF(A26&gt;$F$8,"",IF(T26&lt;&gt;T25,ROUND(SUM(V26*$F$9*E25/T26,W26*$F$9*E25/T25),2),ROUND(E25*$F$9*D26/T25,2))))</f>
        <v>16703.2</v>
      </c>
      <c r="H26" s="174">
        <f ca="1">IF(A25=$D$8,SUM(H7:H25),IF(A25&gt;$D$8,"",F26+G26))</f>
        <v>33369.869999999995</v>
      </c>
      <c r="I26" s="185"/>
      <c r="J26" s="185"/>
      <c r="K26" s="185"/>
      <c r="L26" s="185"/>
      <c r="M26" s="179"/>
      <c r="N26" s="179"/>
      <c r="O26" s="179"/>
      <c r="P26" s="181" t="str">
        <f>IF(A25=$D$8,XIRR(R$24:R25,C$24:C25),"")</f>
        <v/>
      </c>
      <c r="Q26" s="182"/>
      <c r="R26" s="177">
        <f t="shared" ref="R26:R89" ca="1" si="6">SUM(H26:Q26)</f>
        <v>33369.869999999995</v>
      </c>
      <c r="S26" s="178">
        <f t="shared" ref="S26:S89" ca="1" si="7">IF(C26="","",YEAR(C26))</f>
        <v>2022</v>
      </c>
      <c r="T26" s="178">
        <f t="shared" ref="T26:T89" ca="1" si="8">IF(OR(S26=2024,S26=2028,S26=2016,S26=2020,S26=2024,S26=2028,S26=2032,S26=2036,S26=2040),366,365)</f>
        <v>365</v>
      </c>
      <c r="U26" s="178">
        <f t="shared" ref="U26:U84" ca="1" si="9">IF(C26="","",DAY(C26))</f>
        <v>23</v>
      </c>
      <c r="V26" s="183">
        <f t="shared" ref="V26:V84" ca="1" si="10">U26-1</f>
        <v>22</v>
      </c>
      <c r="W26" s="184">
        <f t="shared" ref="W26:W84" ca="1" si="11">D26-V26</f>
        <v>9</v>
      </c>
      <c r="X26" s="132"/>
      <c r="Y26" s="133"/>
      <c r="Z26" s="123"/>
    </row>
    <row r="27" spans="1:31" x14ac:dyDescent="0.25">
      <c r="A27" s="179">
        <f t="shared" ref="A27:A90" si="12">IF(A26&lt;$D$8,A26+1,"")</f>
        <v>3</v>
      </c>
      <c r="B27" s="173">
        <f t="shared" ca="1" si="4"/>
        <v>44615</v>
      </c>
      <c r="C27" s="173">
        <f t="shared" ca="1" si="5"/>
        <v>44615</v>
      </c>
      <c r="D27" s="179">
        <f t="shared" ca="1" si="3"/>
        <v>31</v>
      </c>
      <c r="E27" s="174">
        <f t="shared" ref="E27:E36" si="13">E26-F27</f>
        <v>949999.99333333329</v>
      </c>
      <c r="F27" s="174">
        <f>IF(AND(A26="",A28=""),"",IF(A27="",ROUND(SUM($F$25:F26),2),IF(A27=$D$8,$E$24-ROUND(SUM($F$25:F26),2),ROUND($E$24/$D$8,2))))</f>
        <v>16666.669999999998</v>
      </c>
      <c r="G27" s="174">
        <f ca="1">IF(A26=$D$8,ROUND(SUM($G$25:G26),2),IF(A27&gt;$F$8,"",IF(T27&lt;&gt;T26,ROUND(SUM(V27*$F$9*E26/T27,W27*$F$9*E26/T26),2),ROUND(E26*$F$9*D27/T26,2))))</f>
        <v>16420.09</v>
      </c>
      <c r="H27" s="174">
        <f ca="1">IF(A26=$D$8,SUM(H8:H26),IF(A26&gt;$D$8,"",F27+G27))</f>
        <v>33086.759999999995</v>
      </c>
      <c r="I27" s="185"/>
      <c r="J27" s="185"/>
      <c r="K27" s="185"/>
      <c r="L27" s="185"/>
      <c r="M27" s="179"/>
      <c r="N27" s="179"/>
      <c r="O27" s="179"/>
      <c r="P27" s="181" t="str">
        <f>IF(A26=$D$8,XIRR(R$24:R26,C$24:C26),"")</f>
        <v/>
      </c>
      <c r="Q27" s="185" t="str">
        <f>IF(A26=$D$8,G27+M27+F27+I27+J27+K27+L27+N27+O27,"")</f>
        <v/>
      </c>
      <c r="R27" s="177">
        <f t="shared" ca="1" si="6"/>
        <v>33086.759999999995</v>
      </c>
      <c r="S27" s="178">
        <f t="shared" ca="1" si="7"/>
        <v>2022</v>
      </c>
      <c r="T27" s="178">
        <f t="shared" ca="1" si="8"/>
        <v>365</v>
      </c>
      <c r="U27" s="178">
        <f t="shared" ca="1" si="9"/>
        <v>23</v>
      </c>
      <c r="V27" s="183">
        <f t="shared" ca="1" si="10"/>
        <v>22</v>
      </c>
      <c r="W27" s="184">
        <f t="shared" ca="1" si="11"/>
        <v>9</v>
      </c>
      <c r="Y27" s="123"/>
      <c r="Z27" s="123"/>
    </row>
    <row r="28" spans="1:31" x14ac:dyDescent="0.25">
      <c r="A28" s="179">
        <f t="shared" si="12"/>
        <v>4</v>
      </c>
      <c r="B28" s="173">
        <f t="shared" ca="1" si="4"/>
        <v>44643</v>
      </c>
      <c r="C28" s="173">
        <f t="shared" ca="1" si="5"/>
        <v>44643</v>
      </c>
      <c r="D28" s="179">
        <f t="shared" ca="1" si="3"/>
        <v>28</v>
      </c>
      <c r="E28" s="174">
        <f t="shared" si="13"/>
        <v>933333.32333333325</v>
      </c>
      <c r="F28" s="174">
        <f>IF(AND(A27="",A29=""),"",IF(A28="",ROUND(SUM($F$25:F27),2),IF(A28=$D$8,$E$24-ROUND(SUM($F$25:F27),2),ROUND($E$24/$D$8,2))))</f>
        <v>16666.669999999998</v>
      </c>
      <c r="G28" s="174">
        <f ca="1">IF(A27=$D$8,ROUND(SUM($G$25:G27),2),IF(A28&gt;$F$8,"",IF(T28&lt;&gt;T27,ROUND(SUM(V28*$F$9*E27/T28,W28*$F$9*E27/T27),2),ROUND(E27*$F$9*D28/T27,2))))</f>
        <v>14575.34</v>
      </c>
      <c r="H28" s="174">
        <f ca="1">IF(A27=$D$8,SUM(H9:H27),IF(A27&gt;$D$8,"",F28+G28))</f>
        <v>31242.01</v>
      </c>
      <c r="I28" s="185"/>
      <c r="J28" s="185"/>
      <c r="K28" s="185"/>
      <c r="L28" s="185"/>
      <c r="M28" s="174" t="str">
        <f>IF(A27=$D$8,$M$24,"")</f>
        <v/>
      </c>
      <c r="N28" s="174"/>
      <c r="O28" s="174"/>
      <c r="P28" s="181" t="str">
        <f>IF(A27=$D$8,XIRR(R$24:R27,C$24:C27),"")</f>
        <v/>
      </c>
      <c r="Q28" s="185" t="str">
        <f t="shared" ref="Q28:Q91" si="14">IF(A27=$D$8,G28+M28+F28+I28+J28+K28+L28+N28+O28,"")</f>
        <v/>
      </c>
      <c r="R28" s="177">
        <f t="shared" ca="1" si="6"/>
        <v>31242.01</v>
      </c>
      <c r="S28" s="178">
        <f t="shared" ca="1" si="7"/>
        <v>2022</v>
      </c>
      <c r="T28" s="178">
        <f t="shared" ca="1" si="8"/>
        <v>365</v>
      </c>
      <c r="U28" s="178">
        <f t="shared" ca="1" si="9"/>
        <v>23</v>
      </c>
      <c r="V28" s="183">
        <f t="shared" ca="1" si="10"/>
        <v>22</v>
      </c>
      <c r="W28" s="184">
        <f t="shared" ca="1" si="11"/>
        <v>6</v>
      </c>
    </row>
    <row r="29" spans="1:31" x14ac:dyDescent="0.25">
      <c r="A29" s="179">
        <f t="shared" si="12"/>
        <v>5</v>
      </c>
      <c r="B29" s="173">
        <f t="shared" ca="1" si="4"/>
        <v>44674</v>
      </c>
      <c r="C29" s="173">
        <f t="shared" ca="1" si="5"/>
        <v>44674</v>
      </c>
      <c r="D29" s="179">
        <f t="shared" ca="1" si="3"/>
        <v>31</v>
      </c>
      <c r="E29" s="174">
        <f t="shared" si="13"/>
        <v>916666.6533333332</v>
      </c>
      <c r="F29" s="174">
        <f>IF(AND(A28="",A30=""),"",IF(A29="",ROUND(SUM($F$25:F28),2),IF(A29=$D$8,$E$24-ROUND(SUM($F$25:F28),2),ROUND($E$24/$D$8,2))))</f>
        <v>16666.669999999998</v>
      </c>
      <c r="G29" s="174">
        <f ca="1">IF(A28=$D$8,ROUND(SUM($G$25:G28),2),IF(A29&gt;$F$8,"",IF(T29&lt;&gt;T28,ROUND(SUM(V29*$F$9*E28/T29,W29*$F$9*E28/T28),2),ROUND(E28*$F$9*D29/T28,2))))</f>
        <v>15853.88</v>
      </c>
      <c r="H29" s="174">
        <f ca="1">IF(A28=$D$8,SUM(H10:H28),IF(A28&gt;$D$8,"",F29+G29))</f>
        <v>32520.549999999996</v>
      </c>
      <c r="I29" s="185" t="str">
        <f>IF(A29="",$I$24,"")</f>
        <v/>
      </c>
      <c r="J29" s="185" t="str">
        <f>IF(A29="",$J$24,"")</f>
        <v/>
      </c>
      <c r="K29" s="185"/>
      <c r="L29" s="185" t="str">
        <f>IF(A29="",$L$29,"")</f>
        <v/>
      </c>
      <c r="M29" s="174" t="str">
        <f>IF(A28=$D$8,$M$24,"")</f>
        <v/>
      </c>
      <c r="N29" s="174" t="str">
        <f>IF(A28=$D$8,$N$24,"")</f>
        <v/>
      </c>
      <c r="O29" s="174"/>
      <c r="P29" s="181" t="str">
        <f>IF(A28=$D$8,XIRR(R$24:R28,C$24:C28),"")</f>
        <v/>
      </c>
      <c r="Q29" s="185" t="str">
        <f t="shared" si="14"/>
        <v/>
      </c>
      <c r="R29" s="177">
        <f t="shared" ca="1" si="6"/>
        <v>32520.549999999996</v>
      </c>
      <c r="S29" s="178">
        <f t="shared" ca="1" si="7"/>
        <v>2022</v>
      </c>
      <c r="T29" s="178">
        <f t="shared" ca="1" si="8"/>
        <v>365</v>
      </c>
      <c r="U29" s="178">
        <f t="shared" ca="1" si="9"/>
        <v>23</v>
      </c>
      <c r="V29" s="183">
        <f t="shared" ca="1" si="10"/>
        <v>22</v>
      </c>
      <c r="W29" s="184">
        <f t="shared" ca="1" si="11"/>
        <v>9</v>
      </c>
    </row>
    <row r="30" spans="1:31" x14ac:dyDescent="0.25">
      <c r="A30" s="179">
        <f t="shared" si="12"/>
        <v>6</v>
      </c>
      <c r="B30" s="173">
        <f t="shared" ca="1" si="4"/>
        <v>44704</v>
      </c>
      <c r="C30" s="173">
        <f t="shared" ca="1" si="5"/>
        <v>44704</v>
      </c>
      <c r="D30" s="179">
        <f t="shared" ca="1" si="3"/>
        <v>30</v>
      </c>
      <c r="E30" s="174">
        <f t="shared" si="13"/>
        <v>899999.98333333316</v>
      </c>
      <c r="F30" s="174">
        <f>IF(AND(A29="",A31=""),"",IF(A30="",ROUND(SUM($F$25:F29),2),IF(A30=$D$8,$E$24-ROUND(SUM($F$25:F29),2),ROUND($E$24/$D$8,2))))</f>
        <v>16666.669999999998</v>
      </c>
      <c r="G30" s="174">
        <f ca="1">IF(A29=$D$8,ROUND(SUM($G$25:G29),2),IF(A30&gt;$F$8,"",IF(T30&lt;&gt;T29,ROUND(SUM(V30*$F$9*E29/T30,W30*$F$9*E29/T29),2),ROUND(E29*$F$9*D30/T29,2))))</f>
        <v>15068.49</v>
      </c>
      <c r="H30" s="174">
        <f ca="1">IF(A29=$D$8,SUM(H12:H29),IF(A29&gt;$D$8,"",F30+G30))</f>
        <v>31735.159999999996</v>
      </c>
      <c r="I30" s="185" t="str">
        <f t="shared" ref="I30:I37" si="15">IF(A30="",$I$24,"")</f>
        <v/>
      </c>
      <c r="J30" s="185" t="str">
        <f t="shared" ref="J30:J37" si="16">IF(A30="",$J$24,"")</f>
        <v/>
      </c>
      <c r="K30" s="185"/>
      <c r="L30" s="185" t="str">
        <f>IF(A30="",$L$24,"")</f>
        <v/>
      </c>
      <c r="M30" s="174" t="str">
        <f>IF(A29=$D$8,$M$24,"")</f>
        <v/>
      </c>
      <c r="N30" s="174" t="str">
        <f t="shared" ref="N30:N93" si="17">IF(A29=$D$8,$N$24,"")</f>
        <v/>
      </c>
      <c r="O30" s="174"/>
      <c r="P30" s="181" t="str">
        <f>IF(A29=$D$8,XIRR(R$24:R29,C$24:C29),"")</f>
        <v/>
      </c>
      <c r="Q30" s="185" t="str">
        <f t="shared" si="14"/>
        <v/>
      </c>
      <c r="R30" s="177">
        <f t="shared" ca="1" si="6"/>
        <v>31735.159999999996</v>
      </c>
      <c r="S30" s="178">
        <f t="shared" ca="1" si="7"/>
        <v>2022</v>
      </c>
      <c r="T30" s="178">
        <f t="shared" ca="1" si="8"/>
        <v>365</v>
      </c>
      <c r="U30" s="178">
        <f t="shared" ca="1" si="9"/>
        <v>23</v>
      </c>
      <c r="V30" s="183">
        <f t="shared" ca="1" si="10"/>
        <v>22</v>
      </c>
      <c r="W30" s="184">
        <f t="shared" ca="1" si="11"/>
        <v>8</v>
      </c>
    </row>
    <row r="31" spans="1:31" x14ac:dyDescent="0.25">
      <c r="A31" s="179">
        <f t="shared" si="12"/>
        <v>7</v>
      </c>
      <c r="B31" s="173">
        <f t="shared" ca="1" si="4"/>
        <v>44735</v>
      </c>
      <c r="C31" s="173">
        <f t="shared" ca="1" si="5"/>
        <v>44735</v>
      </c>
      <c r="D31" s="179">
        <f t="shared" ca="1" si="3"/>
        <v>31</v>
      </c>
      <c r="E31" s="174">
        <f t="shared" si="13"/>
        <v>883333.31333333312</v>
      </c>
      <c r="F31" s="174">
        <f>IF(AND(A30="",A32=""),"",IF(A31="",ROUND(SUM($F$25:F30),2),IF(A31=$D$8,$E$24-ROUND(SUM($F$25:F30),2),ROUND($E$24/$D$8,2))))</f>
        <v>16666.669999999998</v>
      </c>
      <c r="G31" s="174">
        <f ca="1">IF(A30=$D$8,ROUND(SUM($G$25:G30),2),IF(A31&gt;$F$8,"",IF(T31&lt;&gt;T30,ROUND(SUM(V31*$F$9*E30/T31,W31*$F$9*E30/T30),2),ROUND(E30*$F$9*D31/T30,2))))</f>
        <v>15287.67</v>
      </c>
      <c r="H31" s="174">
        <f ca="1">IF(A30=$D$8,SUM(H13:H30),IF(A30&gt;$D$8,"",F31+G31))</f>
        <v>31954.339999999997</v>
      </c>
      <c r="I31" s="185" t="str">
        <f t="shared" si="15"/>
        <v/>
      </c>
      <c r="J31" s="185" t="str">
        <f t="shared" si="16"/>
        <v/>
      </c>
      <c r="K31" s="185"/>
      <c r="L31" s="185" t="str">
        <f t="shared" ref="L31:L37" si="18">IF(A31="",$L$24,"")</f>
        <v/>
      </c>
      <c r="M31" s="174"/>
      <c r="N31" s="174" t="str">
        <f t="shared" si="17"/>
        <v/>
      </c>
      <c r="O31" s="174"/>
      <c r="P31" s="181" t="str">
        <f>IF(A30=$D$8,XIRR(R$24:R30,C$24:C30),"")</f>
        <v/>
      </c>
      <c r="Q31" s="185" t="str">
        <f t="shared" si="14"/>
        <v/>
      </c>
      <c r="R31" s="177">
        <f t="shared" ca="1" si="6"/>
        <v>31954.339999999997</v>
      </c>
      <c r="S31" s="178">
        <f t="shared" ca="1" si="7"/>
        <v>2022</v>
      </c>
      <c r="T31" s="178">
        <f t="shared" ca="1" si="8"/>
        <v>365</v>
      </c>
      <c r="U31" s="178">
        <f t="shared" ca="1" si="9"/>
        <v>23</v>
      </c>
      <c r="V31" s="183">
        <f t="shared" ca="1" si="10"/>
        <v>22</v>
      </c>
      <c r="W31" s="184">
        <f t="shared" ca="1" si="11"/>
        <v>9</v>
      </c>
    </row>
    <row r="32" spans="1:31" x14ac:dyDescent="0.25">
      <c r="A32" s="179">
        <f t="shared" si="12"/>
        <v>8</v>
      </c>
      <c r="B32" s="173">
        <f t="shared" ca="1" si="4"/>
        <v>44765</v>
      </c>
      <c r="C32" s="173">
        <f t="shared" ca="1" si="5"/>
        <v>44765</v>
      </c>
      <c r="D32" s="179">
        <f t="shared" ca="1" si="3"/>
        <v>30</v>
      </c>
      <c r="E32" s="174">
        <f t="shared" si="13"/>
        <v>866666.64333333308</v>
      </c>
      <c r="F32" s="174">
        <f>IF(AND(A31="",A33=""),"",IF(A32="",ROUND(SUM($F$25:F31),2),IF(A32=$D$8,$E$24-ROUND(SUM($F$25:F31),2),ROUND($E$24/$D$8,2))))</f>
        <v>16666.669999999998</v>
      </c>
      <c r="G32" s="174">
        <f ca="1">IF(A31=$D$8,ROUND(SUM($G$25:G31),2),IF(A32&gt;$F$8,"",IF(T32&lt;&gt;T31,ROUND(SUM(V32*$F$9*E31/T32,W32*$F$9*E31/T31),2),ROUND(E31*$F$9*D32/T31,2))))</f>
        <v>14520.55</v>
      </c>
      <c r="H32" s="174">
        <f ca="1">IF(A31=$D$8,SUM(H14:H31),IF(A31&gt;$D$8,"",F32+G32))</f>
        <v>31187.219999999998</v>
      </c>
      <c r="I32" s="185" t="str">
        <f t="shared" si="15"/>
        <v/>
      </c>
      <c r="J32" s="185" t="str">
        <f t="shared" si="16"/>
        <v/>
      </c>
      <c r="K32" s="185"/>
      <c r="L32" s="185" t="str">
        <f t="shared" si="18"/>
        <v/>
      </c>
      <c r="M32" s="174" t="str">
        <f t="shared" ref="M32:M95" si="19">IF(A31=$D$8,$M$24,"")</f>
        <v/>
      </c>
      <c r="N32" s="174" t="str">
        <f t="shared" si="17"/>
        <v/>
      </c>
      <c r="O32" s="174"/>
      <c r="P32" s="181" t="str">
        <f>IF(A31=$D$8,XIRR(R$24:R31,C$24:C31),"")</f>
        <v/>
      </c>
      <c r="Q32" s="185" t="str">
        <f t="shared" si="14"/>
        <v/>
      </c>
      <c r="R32" s="177">
        <f t="shared" ca="1" si="6"/>
        <v>31187.219999999998</v>
      </c>
      <c r="S32" s="178">
        <f t="shared" ca="1" si="7"/>
        <v>2022</v>
      </c>
      <c r="T32" s="178">
        <f t="shared" ca="1" si="8"/>
        <v>365</v>
      </c>
      <c r="U32" s="178">
        <f t="shared" ca="1" si="9"/>
        <v>23</v>
      </c>
      <c r="V32" s="183">
        <f t="shared" ca="1" si="10"/>
        <v>22</v>
      </c>
      <c r="W32" s="184">
        <f t="shared" ca="1" si="11"/>
        <v>8</v>
      </c>
    </row>
    <row r="33" spans="1:23" x14ac:dyDescent="0.25">
      <c r="A33" s="179">
        <f t="shared" si="12"/>
        <v>9</v>
      </c>
      <c r="B33" s="173">
        <f t="shared" ca="1" si="4"/>
        <v>44796</v>
      </c>
      <c r="C33" s="173">
        <f t="shared" ca="1" si="5"/>
        <v>44796</v>
      </c>
      <c r="D33" s="179">
        <f t="shared" ca="1" si="3"/>
        <v>31</v>
      </c>
      <c r="E33" s="174">
        <f t="shared" si="13"/>
        <v>849999.97333333304</v>
      </c>
      <c r="F33" s="174">
        <f>IF(AND(A32="",A34=""),"",IF(A33="",ROUND(SUM($F$25:F32),2),IF(A33=$D$8,$E$24-ROUND(SUM($F$25:F32),2),ROUND($E$24/$D$8,2))))</f>
        <v>16666.669999999998</v>
      </c>
      <c r="G33" s="174">
        <f ca="1">IF(A32=$D$8,ROUND(SUM($G$25:G32),2),IF(A33&gt;$F$8,"",IF(T33&lt;&gt;T32,ROUND(SUM(V33*$F$9*E32/T33,W33*$F$9*E32/T32),2),ROUND(E32*$F$9*D33/T32,2))))</f>
        <v>14721.46</v>
      </c>
      <c r="H33" s="174">
        <f ca="1">IF(A32=$D$8,SUM(H15:H32),IF(A32&gt;$D$8,"",F33+G33))</f>
        <v>31388.129999999997</v>
      </c>
      <c r="I33" s="185" t="str">
        <f t="shared" si="15"/>
        <v/>
      </c>
      <c r="J33" s="185" t="str">
        <f t="shared" si="16"/>
        <v/>
      </c>
      <c r="K33" s="185"/>
      <c r="L33" s="185" t="str">
        <f t="shared" si="18"/>
        <v/>
      </c>
      <c r="M33" s="174" t="str">
        <f t="shared" si="19"/>
        <v/>
      </c>
      <c r="N33" s="174" t="str">
        <f t="shared" si="17"/>
        <v/>
      </c>
      <c r="O33" s="174"/>
      <c r="P33" s="181" t="str">
        <f>IF(A32=$D$8,XIRR(R$24:R32,C$24:C32),"")</f>
        <v/>
      </c>
      <c r="Q33" s="185" t="str">
        <f t="shared" si="14"/>
        <v/>
      </c>
      <c r="R33" s="177">
        <f t="shared" ca="1" si="6"/>
        <v>31388.129999999997</v>
      </c>
      <c r="S33" s="178">
        <f t="shared" ca="1" si="7"/>
        <v>2022</v>
      </c>
      <c r="T33" s="178">
        <f t="shared" ca="1" si="8"/>
        <v>365</v>
      </c>
      <c r="U33" s="178">
        <f t="shared" ca="1" si="9"/>
        <v>23</v>
      </c>
      <c r="V33" s="183">
        <f t="shared" ca="1" si="10"/>
        <v>22</v>
      </c>
      <c r="W33" s="184">
        <f t="shared" ca="1" si="11"/>
        <v>9</v>
      </c>
    </row>
    <row r="34" spans="1:23" x14ac:dyDescent="0.25">
      <c r="A34" s="179">
        <f t="shared" si="12"/>
        <v>10</v>
      </c>
      <c r="B34" s="173">
        <f t="shared" ca="1" si="4"/>
        <v>44827</v>
      </c>
      <c r="C34" s="173">
        <f t="shared" ca="1" si="5"/>
        <v>44827</v>
      </c>
      <c r="D34" s="179">
        <f t="shared" ca="1" si="3"/>
        <v>31</v>
      </c>
      <c r="E34" s="174">
        <f t="shared" si="13"/>
        <v>833333.30333333299</v>
      </c>
      <c r="F34" s="174">
        <f>IF(AND(A33="",A35=""),"",IF(A34="",ROUND(SUM($F$25:F33),2),IF(A34=$D$8,$E$24-ROUND(SUM($F$25:F33),2),ROUND($E$24/$D$8,2))))</f>
        <v>16666.669999999998</v>
      </c>
      <c r="G34" s="174">
        <f ca="1">IF(A33=$D$8,ROUND(SUM($G$25:G33),2),IF(A34&gt;$F$8,"",IF(T34&lt;&gt;T33,ROUND(SUM(V34*$F$9*E33/T34,W34*$F$9*E33/T33),2),ROUND(E33*$F$9*D34/T33,2))))</f>
        <v>14438.36</v>
      </c>
      <c r="H34" s="174">
        <f ca="1">IF(A33=$D$8,SUM(H21:H33),IF(A33&gt;$D$8,"",F34+G34))</f>
        <v>31105.03</v>
      </c>
      <c r="I34" s="185" t="str">
        <f t="shared" si="15"/>
        <v/>
      </c>
      <c r="J34" s="185" t="str">
        <f t="shared" si="16"/>
        <v/>
      </c>
      <c r="K34" s="185"/>
      <c r="L34" s="185" t="str">
        <f t="shared" si="18"/>
        <v/>
      </c>
      <c r="M34" s="174" t="str">
        <f t="shared" si="19"/>
        <v/>
      </c>
      <c r="N34" s="174" t="str">
        <f t="shared" si="17"/>
        <v/>
      </c>
      <c r="O34" s="174"/>
      <c r="P34" s="181" t="str">
        <f>IF(A33=$D$8,XIRR(R$24:R33,C$24:C33),"")</f>
        <v/>
      </c>
      <c r="Q34" s="185" t="str">
        <f t="shared" si="14"/>
        <v/>
      </c>
      <c r="R34" s="177">
        <f t="shared" ca="1" si="6"/>
        <v>31105.03</v>
      </c>
      <c r="S34" s="178">
        <f t="shared" ca="1" si="7"/>
        <v>2022</v>
      </c>
      <c r="T34" s="178">
        <f t="shared" ca="1" si="8"/>
        <v>365</v>
      </c>
      <c r="U34" s="178">
        <f t="shared" ca="1" si="9"/>
        <v>23</v>
      </c>
      <c r="V34" s="183">
        <f t="shared" ca="1" si="10"/>
        <v>22</v>
      </c>
      <c r="W34" s="184">
        <f t="shared" ca="1" si="11"/>
        <v>9</v>
      </c>
    </row>
    <row r="35" spans="1:23" x14ac:dyDescent="0.25">
      <c r="A35" s="179">
        <f t="shared" si="12"/>
        <v>11</v>
      </c>
      <c r="B35" s="173">
        <f t="shared" ca="1" si="4"/>
        <v>44857</v>
      </c>
      <c r="C35" s="173">
        <f t="shared" ca="1" si="5"/>
        <v>44857</v>
      </c>
      <c r="D35" s="179">
        <f t="shared" ca="1" si="3"/>
        <v>30</v>
      </c>
      <c r="E35" s="174">
        <f t="shared" si="13"/>
        <v>816666.63333333295</v>
      </c>
      <c r="F35" s="174">
        <f>IF(AND(A34="",A36=""),"",IF(A35="",ROUND(SUM($F$25:F34),2),IF(A35=$D$8,$E$24-ROUND(SUM($F$25:F34),2),ROUND($E$24/$D$8,2))))</f>
        <v>16666.669999999998</v>
      </c>
      <c r="G35" s="174">
        <f ca="1">IF(A34=$D$8,ROUND(SUM($G$25:G34),2),IF(A35&gt;$F$8,"",IF(T35&lt;&gt;T34,ROUND(SUM(V35*$F$9*E34/T35,W35*$F$9*E34/T34),2),ROUND(E34*$F$9*D35/T34,2))))</f>
        <v>13698.63</v>
      </c>
      <c r="H35" s="174">
        <f ca="1">IF(A34=$D$8,SUM(H22:H34),IF(A34&gt;$D$8,"",F35+G35))</f>
        <v>30365.299999999996</v>
      </c>
      <c r="I35" s="185" t="str">
        <f t="shared" si="15"/>
        <v/>
      </c>
      <c r="J35" s="185" t="str">
        <f t="shared" si="16"/>
        <v/>
      </c>
      <c r="K35" s="185"/>
      <c r="L35" s="185" t="str">
        <f t="shared" si="18"/>
        <v/>
      </c>
      <c r="M35" s="174" t="str">
        <f t="shared" si="19"/>
        <v/>
      </c>
      <c r="N35" s="174" t="str">
        <f t="shared" si="17"/>
        <v/>
      </c>
      <c r="O35" s="174"/>
      <c r="P35" s="181" t="str">
        <f>IF(A34=$D$8,XIRR(R$24:R34,C$24:C34),"")</f>
        <v/>
      </c>
      <c r="Q35" s="185" t="str">
        <f t="shared" si="14"/>
        <v/>
      </c>
      <c r="R35" s="177">
        <f t="shared" ca="1" si="6"/>
        <v>30365.299999999996</v>
      </c>
      <c r="S35" s="178">
        <f t="shared" ca="1" si="7"/>
        <v>2022</v>
      </c>
      <c r="T35" s="178">
        <f t="shared" ca="1" si="8"/>
        <v>365</v>
      </c>
      <c r="U35" s="178">
        <f t="shared" ca="1" si="9"/>
        <v>23</v>
      </c>
      <c r="V35" s="183">
        <f t="shared" ca="1" si="10"/>
        <v>22</v>
      </c>
      <c r="W35" s="184">
        <f t="shared" ca="1" si="11"/>
        <v>8</v>
      </c>
    </row>
    <row r="36" spans="1:23" x14ac:dyDescent="0.25">
      <c r="A36" s="179">
        <f t="shared" si="12"/>
        <v>12</v>
      </c>
      <c r="B36" s="173">
        <f t="shared" ca="1" si="4"/>
        <v>44888</v>
      </c>
      <c r="C36" s="173">
        <f t="shared" ca="1" si="5"/>
        <v>44888</v>
      </c>
      <c r="D36" s="179">
        <f t="shared" ca="1" si="3"/>
        <v>31</v>
      </c>
      <c r="E36" s="174">
        <f t="shared" si="13"/>
        <v>799999.96333333291</v>
      </c>
      <c r="F36" s="174">
        <f>IF(AND(A35="",A37=""),"",IF(A36="",ROUND(SUM($F$25:F35),2),IF(A36=$D$8,$E$24-ROUND(SUM($F$25:F35),2),ROUND($E$24/$D$8,2))))</f>
        <v>16666.669999999998</v>
      </c>
      <c r="G36" s="174">
        <f ca="1">IF(A35=$D$8,ROUND(SUM($G$25:G35),2),IF(A36&gt;$F$8,"",IF(T36&lt;&gt;T35,ROUND(SUM(V36*$F$9*E35/T36,W36*$F$9*E35/T35),2),ROUND(E35*$F$9*D36/T35,2))))</f>
        <v>13872.15</v>
      </c>
      <c r="H36" s="174">
        <f t="shared" ref="H36" ca="1" si="20">IF(A35=$D$8,SUM(H24:H35),IF(A35&gt;$D$8,"",F36+G36))</f>
        <v>30538.82</v>
      </c>
      <c r="I36" s="185" t="str">
        <f t="shared" si="15"/>
        <v/>
      </c>
      <c r="J36" s="185" t="str">
        <f t="shared" si="16"/>
        <v/>
      </c>
      <c r="K36" s="185"/>
      <c r="L36" s="185" t="str">
        <f t="shared" si="18"/>
        <v/>
      </c>
      <c r="M36" s="174" t="str">
        <f t="shared" si="19"/>
        <v/>
      </c>
      <c r="N36" s="174" t="str">
        <f t="shared" si="17"/>
        <v/>
      </c>
      <c r="O36" s="174"/>
      <c r="P36" s="181" t="str">
        <f>IF(A35=$D$8,XIRR(R$24:R35,C$24:C35),"")</f>
        <v/>
      </c>
      <c r="Q36" s="185" t="str">
        <f t="shared" si="14"/>
        <v/>
      </c>
      <c r="R36" s="177">
        <f t="shared" ca="1" si="6"/>
        <v>30538.82</v>
      </c>
      <c r="S36" s="178">
        <f t="shared" ca="1" si="7"/>
        <v>2022</v>
      </c>
      <c r="T36" s="178">
        <f t="shared" ca="1" si="8"/>
        <v>365</v>
      </c>
      <c r="U36" s="178">
        <f t="shared" ca="1" si="9"/>
        <v>23</v>
      </c>
      <c r="V36" s="183">
        <f t="shared" ca="1" si="10"/>
        <v>22</v>
      </c>
      <c r="W36" s="184">
        <f t="shared" ca="1" si="11"/>
        <v>9</v>
      </c>
    </row>
    <row r="37" spans="1:23" x14ac:dyDescent="0.25">
      <c r="A37" s="179">
        <f t="shared" si="12"/>
        <v>13</v>
      </c>
      <c r="B37" s="173">
        <f t="shared" ca="1" si="4"/>
        <v>44918</v>
      </c>
      <c r="C37" s="173">
        <f t="shared" ca="1" si="5"/>
        <v>44918</v>
      </c>
      <c r="D37" s="179">
        <f ca="1">IF(A37&gt;$D$8,"",C37-C36)</f>
        <v>30</v>
      </c>
      <c r="E37" s="174">
        <f>IF(A37&gt;$D$8,"",E36-F37)</f>
        <v>783333.29333333287</v>
      </c>
      <c r="F37" s="174">
        <f>IF(AND(A36="",A38=""),"",IF(A37="",ROUND(SUM($F$25:F36),2),IF(A37=$D$8,$E$24-ROUND(SUM($F$25:F36),2),ROUND($E$24/$D$8,2))))</f>
        <v>16666.669999999998</v>
      </c>
      <c r="G37" s="174">
        <f ca="1">IF(A36=$D$8,ROUND(SUM($G$25:G36),2),IF(A37&gt;$F$8,"",IF(T37&lt;&gt;T36,ROUND(SUM(V37*$F$9*E36/T37,W37*$F$9*E36/T36),2),ROUND(E36*$F$9*D37/T36,2))))</f>
        <v>13150.68</v>
      </c>
      <c r="H37" s="174">
        <f ca="1">IF(A36=$D$8,SUM(H25:H36),IF(A36&gt;$D$8,"",F37+G37))</f>
        <v>29817.35</v>
      </c>
      <c r="I37" s="185" t="str">
        <f t="shared" si="15"/>
        <v/>
      </c>
      <c r="J37" s="185" t="str">
        <f t="shared" si="16"/>
        <v/>
      </c>
      <c r="K37" s="185">
        <f>IF(F8&gt;12,(O8+O10),IF($A$36=$F$8,K24,""))</f>
        <v>7250</v>
      </c>
      <c r="L37" s="185" t="str">
        <f t="shared" si="18"/>
        <v/>
      </c>
      <c r="M37" s="174" t="str">
        <f t="shared" si="19"/>
        <v/>
      </c>
      <c r="N37" s="185">
        <f>IF($F$8&gt;12,($N$14),IF($A$36=$F$8,N24,""))</f>
        <v>0</v>
      </c>
      <c r="O37" s="174"/>
      <c r="P37" s="181" t="str">
        <f>IF(A36=$D$8,XIRR(R$24:R36,C$24:C36),"")</f>
        <v/>
      </c>
      <c r="Q37" s="185" t="str">
        <f t="shared" si="14"/>
        <v/>
      </c>
      <c r="R37" s="177">
        <f t="shared" ca="1" si="6"/>
        <v>37067.35</v>
      </c>
      <c r="S37" s="178">
        <f t="shared" ca="1" si="7"/>
        <v>2022</v>
      </c>
      <c r="T37" s="178">
        <f t="shared" ca="1" si="8"/>
        <v>365</v>
      </c>
      <c r="U37" s="178">
        <f t="shared" ca="1" si="9"/>
        <v>23</v>
      </c>
      <c r="V37" s="183">
        <f t="shared" ca="1" si="10"/>
        <v>22</v>
      </c>
      <c r="W37" s="184">
        <f t="shared" ca="1" si="11"/>
        <v>8</v>
      </c>
    </row>
    <row r="38" spans="1:23" x14ac:dyDescent="0.25">
      <c r="A38" s="179">
        <f t="shared" si="12"/>
        <v>14</v>
      </c>
      <c r="B38" s="173">
        <f t="shared" ca="1" si="4"/>
        <v>44949</v>
      </c>
      <c r="C38" s="173">
        <f t="shared" ca="1" si="5"/>
        <v>44949</v>
      </c>
      <c r="D38" s="179">
        <f t="shared" ref="D38:D101" ca="1" si="21">IF(A38&gt;$D$8,"",C38-C37)</f>
        <v>31</v>
      </c>
      <c r="E38" s="174">
        <f t="shared" ref="E38:E101" si="22">IF(A38&gt;$D$8,"",E37-F38)</f>
        <v>766666.62333333283</v>
      </c>
      <c r="F38" s="174">
        <f>IF(AND(A37="",A39=""),"",IF(A38="",ROUND(SUM($F$25:F37),2),IF(A38=$D$8,$E$24-ROUND(SUM($F$25:F37),2),ROUND($E$24/$D$8,2))))</f>
        <v>16666.669999999998</v>
      </c>
      <c r="G38" s="174">
        <f ca="1">IF(A37=$D$8,ROUND(SUM($G$25:G37),2),IF(A38&gt;$F$8,"",IF(T38&lt;&gt;T37,ROUND(SUM(V38*$F$9*E37/T38,W38*$F$9*E37/T37),2),ROUND(E37*$F$9*D38/T37,2))))</f>
        <v>13305.94</v>
      </c>
      <c r="H38" s="174">
        <f ca="1">IF(A37=$D$8,SUM($H$25:H37),IF(A37&gt;$D$8,"",F38+G38))</f>
        <v>29972.61</v>
      </c>
      <c r="I38" s="185" t="str">
        <f t="shared" ref="I38:I101" si="23">IF(A37=$F$8,$I$24,"")</f>
        <v/>
      </c>
      <c r="J38" s="185" t="str">
        <f t="shared" ref="J38:J101" si="24">IF(A37=$F$8,$J$24,"")</f>
        <v/>
      </c>
      <c r="K38" s="185"/>
      <c r="L38" s="185" t="str">
        <f t="shared" ref="L38:L101" si="25">IF(A37=$F$8,$L$24,"")</f>
        <v/>
      </c>
      <c r="M38" s="174" t="str">
        <f t="shared" si="19"/>
        <v/>
      </c>
      <c r="N38" s="174" t="str">
        <f t="shared" si="17"/>
        <v/>
      </c>
      <c r="O38" s="174"/>
      <c r="P38" s="181" t="str">
        <f>IF(A37=$D$8,XIRR(R$24:R37,C$24:C37),"")</f>
        <v/>
      </c>
      <c r="Q38" s="185" t="str">
        <f t="shared" si="14"/>
        <v/>
      </c>
      <c r="R38" s="177">
        <f t="shared" ca="1" si="6"/>
        <v>29972.61</v>
      </c>
      <c r="S38" s="178">
        <f t="shared" ca="1" si="7"/>
        <v>2023</v>
      </c>
      <c r="T38" s="178">
        <f t="shared" ca="1" si="8"/>
        <v>365</v>
      </c>
      <c r="U38" s="178">
        <f t="shared" ca="1" si="9"/>
        <v>23</v>
      </c>
      <c r="V38" s="183">
        <f t="shared" ca="1" si="10"/>
        <v>22</v>
      </c>
      <c r="W38" s="184">
        <f t="shared" ca="1" si="11"/>
        <v>9</v>
      </c>
    </row>
    <row r="39" spans="1:23" x14ac:dyDescent="0.25">
      <c r="A39" s="179">
        <f t="shared" si="12"/>
        <v>15</v>
      </c>
      <c r="B39" s="173">
        <f t="shared" ca="1" si="4"/>
        <v>44980</v>
      </c>
      <c r="C39" s="173">
        <f t="shared" ca="1" si="5"/>
        <v>44980</v>
      </c>
      <c r="D39" s="179">
        <f t="shared" ca="1" si="21"/>
        <v>31</v>
      </c>
      <c r="E39" s="174">
        <f t="shared" si="22"/>
        <v>749999.95333333279</v>
      </c>
      <c r="F39" s="174">
        <f>IF(AND(A38="",A40=""),"",IF(A39="",ROUND(SUM($F$25:F38),2),IF(A39=$D$8,$E$24-ROUND(SUM($F$25:F38),2),ROUND($E$24/$D$8,2))))</f>
        <v>16666.669999999998</v>
      </c>
      <c r="G39" s="174">
        <f ca="1">IF(A38=$D$8,ROUND(SUM($G$25:G38),2),IF(A39&gt;$F$8,"",IF(T39&lt;&gt;T38,ROUND(SUM(V39*$F$9*E38/T39,W39*$F$9*E38/T38),2),ROUND(E38*$F$9*D39/T38,2))))</f>
        <v>13022.83</v>
      </c>
      <c r="H39" s="174">
        <f ca="1">IF(A38=$D$8,SUM($H$25:H38),IF(A38&gt;$D$8,"",F39+G39))</f>
        <v>29689.5</v>
      </c>
      <c r="I39" s="185" t="str">
        <f t="shared" si="23"/>
        <v/>
      </c>
      <c r="J39" s="185" t="str">
        <f t="shared" si="24"/>
        <v/>
      </c>
      <c r="K39" s="185"/>
      <c r="L39" s="185" t="str">
        <f t="shared" si="25"/>
        <v/>
      </c>
      <c r="M39" s="174" t="str">
        <f t="shared" si="19"/>
        <v/>
      </c>
      <c r="N39" s="174" t="str">
        <f t="shared" si="17"/>
        <v/>
      </c>
      <c r="O39" s="174"/>
      <c r="P39" s="181" t="str">
        <f>IF(A38=$D$8,XIRR(R$24:R38,C$24:C38),"")</f>
        <v/>
      </c>
      <c r="Q39" s="185" t="str">
        <f t="shared" si="14"/>
        <v/>
      </c>
      <c r="R39" s="177">
        <f t="shared" ca="1" si="6"/>
        <v>29689.5</v>
      </c>
      <c r="S39" s="178">
        <f t="shared" ca="1" si="7"/>
        <v>2023</v>
      </c>
      <c r="T39" s="178">
        <f t="shared" ca="1" si="8"/>
        <v>365</v>
      </c>
      <c r="U39" s="178">
        <f t="shared" ca="1" si="9"/>
        <v>23</v>
      </c>
      <c r="V39" s="183">
        <f t="shared" ca="1" si="10"/>
        <v>22</v>
      </c>
      <c r="W39" s="184">
        <f t="shared" ca="1" si="11"/>
        <v>9</v>
      </c>
    </row>
    <row r="40" spans="1:23" x14ac:dyDescent="0.25">
      <c r="A40" s="179">
        <f t="shared" si="12"/>
        <v>16</v>
      </c>
      <c r="B40" s="173">
        <f t="shared" ca="1" si="4"/>
        <v>45008</v>
      </c>
      <c r="C40" s="173">
        <f t="shared" ca="1" si="5"/>
        <v>45008</v>
      </c>
      <c r="D40" s="179">
        <f t="shared" ca="1" si="21"/>
        <v>28</v>
      </c>
      <c r="E40" s="174">
        <f t="shared" si="22"/>
        <v>733333.28333333274</v>
      </c>
      <c r="F40" s="174">
        <f>IF(AND(A39="",A41=""),"",IF(A40="",ROUND(SUM($F$25:F39),2),IF(A40=$D$8,$E$24-ROUND(SUM($F$25:F39),2),ROUND($E$24/$D$8,2))))</f>
        <v>16666.669999999998</v>
      </c>
      <c r="G40" s="174">
        <f ca="1">IF(A39=$D$8,ROUND(SUM($G$25:G39),2),IF(A40&gt;$F$8,"",IF(T40&lt;&gt;T39,ROUND(SUM(V40*$F$9*E39/T40,W40*$F$9*E39/T39),2),ROUND(E39*$F$9*D40/T39,2))))</f>
        <v>11506.85</v>
      </c>
      <c r="H40" s="174">
        <f ca="1">IF(A39=$D$8,SUM($H$25:H39),IF(A39&gt;$D$8,"",F40+G40))</f>
        <v>28173.519999999997</v>
      </c>
      <c r="I40" s="185" t="str">
        <f t="shared" si="23"/>
        <v/>
      </c>
      <c r="J40" s="185" t="str">
        <f t="shared" si="24"/>
        <v/>
      </c>
      <c r="K40" s="185"/>
      <c r="L40" s="185" t="str">
        <f t="shared" si="25"/>
        <v/>
      </c>
      <c r="M40" s="174" t="str">
        <f t="shared" si="19"/>
        <v/>
      </c>
      <c r="N40" s="174" t="str">
        <f t="shared" si="17"/>
        <v/>
      </c>
      <c r="O40" s="174"/>
      <c r="P40" s="181" t="str">
        <f>IF(A39=$D$8,XIRR(R$24:R39,C$24:C39),"")</f>
        <v/>
      </c>
      <c r="Q40" s="185" t="str">
        <f t="shared" si="14"/>
        <v/>
      </c>
      <c r="R40" s="177">
        <f t="shared" ca="1" si="6"/>
        <v>28173.519999999997</v>
      </c>
      <c r="S40" s="178">
        <f t="shared" ca="1" si="7"/>
        <v>2023</v>
      </c>
      <c r="T40" s="178">
        <f t="shared" ca="1" si="8"/>
        <v>365</v>
      </c>
      <c r="U40" s="178">
        <f t="shared" ca="1" si="9"/>
        <v>23</v>
      </c>
      <c r="V40" s="183">
        <f t="shared" ca="1" si="10"/>
        <v>22</v>
      </c>
      <c r="W40" s="184">
        <f t="shared" ca="1" si="11"/>
        <v>6</v>
      </c>
    </row>
    <row r="41" spans="1:23" x14ac:dyDescent="0.25">
      <c r="A41" s="179">
        <f t="shared" si="12"/>
        <v>17</v>
      </c>
      <c r="B41" s="173">
        <f t="shared" ca="1" si="4"/>
        <v>45039</v>
      </c>
      <c r="C41" s="173">
        <f t="shared" ca="1" si="5"/>
        <v>45039</v>
      </c>
      <c r="D41" s="179">
        <f t="shared" ca="1" si="21"/>
        <v>31</v>
      </c>
      <c r="E41" s="174">
        <f t="shared" si="22"/>
        <v>716666.6133333327</v>
      </c>
      <c r="F41" s="174">
        <f>IF(AND(A40="",A42=""),"",IF(A41="",ROUND(SUM($F$25:F40),2),IF(A41=$D$8,$E$24-ROUND(SUM($F$25:F40),2),ROUND($E$24/$D$8,2))))</f>
        <v>16666.669999999998</v>
      </c>
      <c r="G41" s="174">
        <f ca="1">IF(A40=$D$8,ROUND(SUM($G$25:G40),2),IF(A41&gt;$F$8,"",IF(T41&lt;&gt;T40,ROUND(SUM(V41*$F$9*E40/T41,W41*$F$9*E40/T40),2),ROUND(E40*$F$9*D41/T40,2))))</f>
        <v>12456.62</v>
      </c>
      <c r="H41" s="174">
        <f ca="1">IF(A40=$D$8,SUM($H$25:H40),IF(A40&gt;$D$8,"",F41+G41))</f>
        <v>29123.29</v>
      </c>
      <c r="I41" s="185" t="str">
        <f t="shared" si="23"/>
        <v/>
      </c>
      <c r="J41" s="185" t="str">
        <f t="shared" si="24"/>
        <v/>
      </c>
      <c r="K41" s="185"/>
      <c r="L41" s="185" t="str">
        <f t="shared" si="25"/>
        <v/>
      </c>
      <c r="M41" s="174" t="str">
        <f t="shared" si="19"/>
        <v/>
      </c>
      <c r="N41" s="174" t="str">
        <f t="shared" si="17"/>
        <v/>
      </c>
      <c r="O41" s="174"/>
      <c r="P41" s="181" t="str">
        <f>IF(A40=$D$8,XIRR(R$24:R40,C$24:C40),"")</f>
        <v/>
      </c>
      <c r="Q41" s="185" t="str">
        <f t="shared" si="14"/>
        <v/>
      </c>
      <c r="R41" s="177">
        <f t="shared" ca="1" si="6"/>
        <v>29123.29</v>
      </c>
      <c r="S41" s="178">
        <f t="shared" ca="1" si="7"/>
        <v>2023</v>
      </c>
      <c r="T41" s="178">
        <f t="shared" ca="1" si="8"/>
        <v>365</v>
      </c>
      <c r="U41" s="178">
        <f t="shared" ca="1" si="9"/>
        <v>23</v>
      </c>
      <c r="V41" s="183">
        <f t="shared" ca="1" si="10"/>
        <v>22</v>
      </c>
      <c r="W41" s="184">
        <f t="shared" ca="1" si="11"/>
        <v>9</v>
      </c>
    </row>
    <row r="42" spans="1:23" x14ac:dyDescent="0.25">
      <c r="A42" s="179">
        <f t="shared" si="12"/>
        <v>18</v>
      </c>
      <c r="B42" s="173">
        <f t="shared" ca="1" si="4"/>
        <v>45069</v>
      </c>
      <c r="C42" s="173">
        <f t="shared" ca="1" si="5"/>
        <v>45069</v>
      </c>
      <c r="D42" s="179">
        <f t="shared" ca="1" si="21"/>
        <v>30</v>
      </c>
      <c r="E42" s="174">
        <f t="shared" si="22"/>
        <v>699999.94333333266</v>
      </c>
      <c r="F42" s="174">
        <f>IF(AND(A41="",A43=""),"",IF(A42="",ROUND(SUM($F$25:F41),2),IF(A42=$D$8,$E$24-ROUND(SUM($F$25:F41),2),ROUND($E$24/$D$8,2))))</f>
        <v>16666.669999999998</v>
      </c>
      <c r="G42" s="174">
        <f ca="1">IF(A41=$D$8,ROUND(SUM($G$25:G41),2),IF(A42&gt;$F$8,"",IF(T42&lt;&gt;T41,ROUND(SUM(V42*$F$9*E41/T42,W42*$F$9*E41/T41),2),ROUND(E41*$F$9*D42/T41,2))))</f>
        <v>11780.82</v>
      </c>
      <c r="H42" s="174">
        <f ca="1">IF(A41=$D$8,SUM($H$25:H41),IF(A41&gt;$D$8,"",F42+G42))</f>
        <v>28447.489999999998</v>
      </c>
      <c r="I42" s="185" t="str">
        <f t="shared" si="23"/>
        <v/>
      </c>
      <c r="J42" s="185" t="str">
        <f t="shared" si="24"/>
        <v/>
      </c>
      <c r="K42" s="185"/>
      <c r="L42" s="185" t="str">
        <f t="shared" si="25"/>
        <v/>
      </c>
      <c r="M42" s="174" t="str">
        <f t="shared" si="19"/>
        <v/>
      </c>
      <c r="N42" s="174" t="str">
        <f t="shared" si="17"/>
        <v/>
      </c>
      <c r="O42" s="174"/>
      <c r="P42" s="181" t="str">
        <f>IF(A41=$D$8,XIRR(R$24:R41,C$24:C41),"")</f>
        <v/>
      </c>
      <c r="Q42" s="185" t="str">
        <f t="shared" si="14"/>
        <v/>
      </c>
      <c r="R42" s="177">
        <f t="shared" ca="1" si="6"/>
        <v>28447.489999999998</v>
      </c>
      <c r="S42" s="178">
        <f t="shared" ca="1" si="7"/>
        <v>2023</v>
      </c>
      <c r="T42" s="178">
        <f t="shared" ca="1" si="8"/>
        <v>365</v>
      </c>
      <c r="U42" s="178">
        <f t="shared" ca="1" si="9"/>
        <v>23</v>
      </c>
      <c r="V42" s="183">
        <f t="shared" ca="1" si="10"/>
        <v>22</v>
      </c>
      <c r="W42" s="184">
        <f t="shared" ca="1" si="11"/>
        <v>8</v>
      </c>
    </row>
    <row r="43" spans="1:23" x14ac:dyDescent="0.25">
      <c r="A43" s="179">
        <f t="shared" si="12"/>
        <v>19</v>
      </c>
      <c r="B43" s="173">
        <f t="shared" ca="1" si="4"/>
        <v>45100</v>
      </c>
      <c r="C43" s="173">
        <f t="shared" ca="1" si="5"/>
        <v>45100</v>
      </c>
      <c r="D43" s="179">
        <f t="shared" ca="1" si="21"/>
        <v>31</v>
      </c>
      <c r="E43" s="174">
        <f t="shared" si="22"/>
        <v>683333.27333333262</v>
      </c>
      <c r="F43" s="174">
        <f>IF(AND(A42="",A44=""),"",IF(A43="",ROUND(SUM($F$25:F42),2),IF(A43=$D$8,$E$24-ROUND(SUM($F$25:F42),2),ROUND($E$24/$D$8,2))))</f>
        <v>16666.669999999998</v>
      </c>
      <c r="G43" s="174">
        <f ca="1">IF(A42=$D$8,ROUND(SUM($G$25:G42),2),IF(A43&gt;$F$8,"",IF(T43&lt;&gt;T42,ROUND(SUM(V43*$F$9*E42/T43,W43*$F$9*E42/T42),2),ROUND(E42*$F$9*D43/T42,2))))</f>
        <v>11890.41</v>
      </c>
      <c r="H43" s="174">
        <f ca="1">IF(A42=$D$8,SUM($H$25:H42),IF(A42&gt;$D$8,"",F43+G43))</f>
        <v>28557.079999999998</v>
      </c>
      <c r="I43" s="185" t="str">
        <f t="shared" si="23"/>
        <v/>
      </c>
      <c r="J43" s="185" t="str">
        <f t="shared" si="24"/>
        <v/>
      </c>
      <c r="K43" s="185"/>
      <c r="L43" s="185" t="str">
        <f t="shared" si="25"/>
        <v/>
      </c>
      <c r="M43" s="174" t="str">
        <f t="shared" si="19"/>
        <v/>
      </c>
      <c r="N43" s="174" t="str">
        <f t="shared" si="17"/>
        <v/>
      </c>
      <c r="O43" s="174"/>
      <c r="P43" s="181" t="str">
        <f>IF(A42=$D$8,XIRR(R$24:R42,C$24:C42),"")</f>
        <v/>
      </c>
      <c r="Q43" s="185" t="str">
        <f t="shared" si="14"/>
        <v/>
      </c>
      <c r="R43" s="177">
        <f t="shared" ca="1" si="6"/>
        <v>28557.079999999998</v>
      </c>
      <c r="S43" s="178">
        <f t="shared" ca="1" si="7"/>
        <v>2023</v>
      </c>
      <c r="T43" s="178">
        <f t="shared" ca="1" si="8"/>
        <v>365</v>
      </c>
      <c r="U43" s="178">
        <f t="shared" ca="1" si="9"/>
        <v>23</v>
      </c>
      <c r="V43" s="183">
        <f t="shared" ca="1" si="10"/>
        <v>22</v>
      </c>
      <c r="W43" s="184">
        <f t="shared" ca="1" si="11"/>
        <v>9</v>
      </c>
    </row>
    <row r="44" spans="1:23" x14ac:dyDescent="0.25">
      <c r="A44" s="179">
        <f t="shared" si="12"/>
        <v>20</v>
      </c>
      <c r="B44" s="173">
        <f t="shared" ca="1" si="4"/>
        <v>45130</v>
      </c>
      <c r="C44" s="173">
        <f t="shared" ca="1" si="5"/>
        <v>45130</v>
      </c>
      <c r="D44" s="179">
        <f t="shared" ca="1" si="21"/>
        <v>30</v>
      </c>
      <c r="E44" s="174">
        <f t="shared" si="22"/>
        <v>666666.60333333258</v>
      </c>
      <c r="F44" s="174">
        <f>IF(AND(A43="",A45=""),"",IF(A44="",ROUND(SUM($F$25:F43),2),IF(A44=$D$8,$E$24-ROUND(SUM($F$25:F43),2),ROUND($E$24/$D$8,2))))</f>
        <v>16666.669999999998</v>
      </c>
      <c r="G44" s="174">
        <f ca="1">IF(A43=$D$8,ROUND(SUM($G$25:G43),2),IF(A44&gt;$F$8,"",IF(T44&lt;&gt;T43,ROUND(SUM(V44*$F$9*E43/T44,W44*$F$9*E43/T43),2),ROUND(E43*$F$9*D44/T43,2))))</f>
        <v>11232.88</v>
      </c>
      <c r="H44" s="174">
        <f ca="1">IF(A43=$D$8,SUM($H$25:H43),IF(A43&gt;$D$8,"",F44+G44))</f>
        <v>27899.549999999996</v>
      </c>
      <c r="I44" s="185" t="str">
        <f t="shared" si="23"/>
        <v/>
      </c>
      <c r="J44" s="185" t="str">
        <f t="shared" si="24"/>
        <v/>
      </c>
      <c r="K44" s="185"/>
      <c r="L44" s="185" t="str">
        <f t="shared" si="25"/>
        <v/>
      </c>
      <c r="M44" s="174" t="str">
        <f t="shared" si="19"/>
        <v/>
      </c>
      <c r="N44" s="174" t="str">
        <f t="shared" si="17"/>
        <v/>
      </c>
      <c r="O44" s="174"/>
      <c r="P44" s="181" t="str">
        <f>IF(A43=$D$8,XIRR(R$24:R43,C$24:C43),"")</f>
        <v/>
      </c>
      <c r="Q44" s="185" t="str">
        <f t="shared" si="14"/>
        <v/>
      </c>
      <c r="R44" s="177">
        <f t="shared" ca="1" si="6"/>
        <v>27899.549999999996</v>
      </c>
      <c r="S44" s="178">
        <f t="shared" ca="1" si="7"/>
        <v>2023</v>
      </c>
      <c r="T44" s="178">
        <f t="shared" ca="1" si="8"/>
        <v>365</v>
      </c>
      <c r="U44" s="178">
        <f t="shared" ca="1" si="9"/>
        <v>23</v>
      </c>
      <c r="V44" s="183">
        <f t="shared" ca="1" si="10"/>
        <v>22</v>
      </c>
      <c r="W44" s="184">
        <f t="shared" ca="1" si="11"/>
        <v>8</v>
      </c>
    </row>
    <row r="45" spans="1:23" x14ac:dyDescent="0.25">
      <c r="A45" s="179">
        <f t="shared" si="12"/>
        <v>21</v>
      </c>
      <c r="B45" s="173">
        <f t="shared" ca="1" si="4"/>
        <v>45161</v>
      </c>
      <c r="C45" s="173">
        <f t="shared" ca="1" si="5"/>
        <v>45161</v>
      </c>
      <c r="D45" s="179">
        <f t="shared" ca="1" si="21"/>
        <v>31</v>
      </c>
      <c r="E45" s="174">
        <f t="shared" si="22"/>
        <v>649999.93333333253</v>
      </c>
      <c r="F45" s="174">
        <f>IF(AND(A44="",A46=""),"",IF(A45="",ROUND(SUM($F$25:F44),2),IF(A45=$D$8,$E$24-ROUND(SUM($F$25:F44),2),ROUND($E$24/$D$8,2))))</f>
        <v>16666.669999999998</v>
      </c>
      <c r="G45" s="174">
        <f ca="1">IF(A44=$D$8,ROUND(SUM($G$25:G44),2),IF(A45&gt;$F$8,"",IF(T45&lt;&gt;T44,ROUND(SUM(V45*$F$9*E44/T45,W45*$F$9*E44/T44),2),ROUND(E44*$F$9*D45/T44,2))))</f>
        <v>11324.2</v>
      </c>
      <c r="H45" s="174">
        <f ca="1">IF(A44=$D$8,SUM($H$25:H44),IF(A44&gt;$D$8,"",F45+G45))</f>
        <v>27990.87</v>
      </c>
      <c r="I45" s="185" t="str">
        <f t="shared" si="23"/>
        <v/>
      </c>
      <c r="J45" s="185" t="str">
        <f t="shared" si="24"/>
        <v/>
      </c>
      <c r="K45" s="185"/>
      <c r="L45" s="185" t="str">
        <f t="shared" si="25"/>
        <v/>
      </c>
      <c r="M45" s="174" t="str">
        <f t="shared" si="19"/>
        <v/>
      </c>
      <c r="N45" s="174" t="str">
        <f t="shared" si="17"/>
        <v/>
      </c>
      <c r="O45" s="174"/>
      <c r="P45" s="181" t="str">
        <f>IF(A44=$D$8,XIRR(R$24:R44,C$24:C44),"")</f>
        <v/>
      </c>
      <c r="Q45" s="185" t="str">
        <f t="shared" si="14"/>
        <v/>
      </c>
      <c r="R45" s="177">
        <f t="shared" ca="1" si="6"/>
        <v>27990.87</v>
      </c>
      <c r="S45" s="178">
        <f t="shared" ca="1" si="7"/>
        <v>2023</v>
      </c>
      <c r="T45" s="178">
        <f t="shared" ca="1" si="8"/>
        <v>365</v>
      </c>
      <c r="U45" s="178">
        <f t="shared" ca="1" si="9"/>
        <v>23</v>
      </c>
      <c r="V45" s="183">
        <f t="shared" ca="1" si="10"/>
        <v>22</v>
      </c>
      <c r="W45" s="184">
        <f t="shared" ca="1" si="11"/>
        <v>9</v>
      </c>
    </row>
    <row r="46" spans="1:23" x14ac:dyDescent="0.25">
      <c r="A46" s="179">
        <f t="shared" si="12"/>
        <v>22</v>
      </c>
      <c r="B46" s="173">
        <f t="shared" ca="1" si="4"/>
        <v>45192</v>
      </c>
      <c r="C46" s="173">
        <f t="shared" ca="1" si="5"/>
        <v>45192</v>
      </c>
      <c r="D46" s="179">
        <f t="shared" ca="1" si="21"/>
        <v>31</v>
      </c>
      <c r="E46" s="174">
        <f t="shared" si="22"/>
        <v>633333.26333333249</v>
      </c>
      <c r="F46" s="174">
        <f>IF(AND(A45="",A47=""),"",IF(A46="",ROUND(SUM($F$25:F45),2),IF(A46=$D$8,$E$24-ROUND(SUM($F$25:F45),2),ROUND($E$24/$D$8,2))))</f>
        <v>16666.669999999998</v>
      </c>
      <c r="G46" s="174">
        <f ca="1">IF(A45=$D$8,ROUND(SUM($G$25:G45),2),IF(A46&gt;$F$8,"",IF(T46&lt;&gt;T45,ROUND(SUM(V46*$F$9*E45/T46,W46*$F$9*E45/T45),2),ROUND(E45*$F$9*D46/T45,2))))</f>
        <v>11041.09</v>
      </c>
      <c r="H46" s="174">
        <f ca="1">IF(A45=$D$8,SUM($H$25:H45),IF(A45&gt;$D$8,"",F46+G46))</f>
        <v>27707.759999999998</v>
      </c>
      <c r="I46" s="185" t="str">
        <f t="shared" si="23"/>
        <v/>
      </c>
      <c r="J46" s="185" t="str">
        <f t="shared" si="24"/>
        <v/>
      </c>
      <c r="K46" s="185"/>
      <c r="L46" s="185" t="str">
        <f t="shared" si="25"/>
        <v/>
      </c>
      <c r="M46" s="174" t="str">
        <f t="shared" si="19"/>
        <v/>
      </c>
      <c r="N46" s="174" t="str">
        <f t="shared" si="17"/>
        <v/>
      </c>
      <c r="O46" s="174"/>
      <c r="P46" s="181" t="str">
        <f>IF(A45=$D$8,XIRR(R$24:R45,C$24:C45),"")</f>
        <v/>
      </c>
      <c r="Q46" s="185" t="str">
        <f t="shared" si="14"/>
        <v/>
      </c>
      <c r="R46" s="177">
        <f t="shared" ca="1" si="6"/>
        <v>27707.759999999998</v>
      </c>
      <c r="S46" s="178">
        <f t="shared" ca="1" si="7"/>
        <v>2023</v>
      </c>
      <c r="T46" s="178">
        <f t="shared" ca="1" si="8"/>
        <v>365</v>
      </c>
      <c r="U46" s="178">
        <f t="shared" ca="1" si="9"/>
        <v>23</v>
      </c>
      <c r="V46" s="183">
        <f t="shared" ca="1" si="10"/>
        <v>22</v>
      </c>
      <c r="W46" s="184">
        <f t="shared" ca="1" si="11"/>
        <v>9</v>
      </c>
    </row>
    <row r="47" spans="1:23" x14ac:dyDescent="0.25">
      <c r="A47" s="179">
        <f t="shared" si="12"/>
        <v>23</v>
      </c>
      <c r="B47" s="173">
        <f t="shared" ca="1" si="4"/>
        <v>45222</v>
      </c>
      <c r="C47" s="173">
        <f t="shared" ca="1" si="5"/>
        <v>45222</v>
      </c>
      <c r="D47" s="179">
        <f t="shared" ca="1" si="21"/>
        <v>30</v>
      </c>
      <c r="E47" s="174">
        <f t="shared" si="22"/>
        <v>616666.59333333245</v>
      </c>
      <c r="F47" s="174">
        <f>IF(AND(A46="",A48=""),"",IF(A47="",ROUND(SUM($F$25:F46),2),IF(A47=$D$8,$E$24-ROUND(SUM($F$25:F46),2),ROUND($E$24/$D$8,2))))</f>
        <v>16666.669999999998</v>
      </c>
      <c r="G47" s="174">
        <f ca="1">IF(A46=$D$8,ROUND(SUM($G$25:G46),2),IF(A47&gt;$F$8,"",IF(T47&lt;&gt;T46,ROUND(SUM(V47*$F$9*E46/T47,W47*$F$9*E46/T46),2),ROUND(E46*$F$9*D47/T46,2))))</f>
        <v>10410.959999999999</v>
      </c>
      <c r="H47" s="174">
        <f ca="1">IF(A46=$D$8,SUM($H$25:H46),IF(A46&gt;$D$8,"",F47+G47))</f>
        <v>27077.629999999997</v>
      </c>
      <c r="I47" s="185" t="str">
        <f t="shared" si="23"/>
        <v/>
      </c>
      <c r="J47" s="185" t="str">
        <f t="shared" si="24"/>
        <v/>
      </c>
      <c r="K47" s="185"/>
      <c r="L47" s="185" t="str">
        <f t="shared" si="25"/>
        <v/>
      </c>
      <c r="M47" s="174" t="str">
        <f t="shared" si="19"/>
        <v/>
      </c>
      <c r="N47" s="174" t="str">
        <f t="shared" si="17"/>
        <v/>
      </c>
      <c r="O47" s="174"/>
      <c r="P47" s="181" t="str">
        <f>IF(A46=$D$8,XIRR(R$24:R46,C$24:C46),"")</f>
        <v/>
      </c>
      <c r="Q47" s="185" t="str">
        <f t="shared" si="14"/>
        <v/>
      </c>
      <c r="R47" s="177">
        <f t="shared" ca="1" si="6"/>
        <v>27077.629999999997</v>
      </c>
      <c r="S47" s="178">
        <f t="shared" ca="1" si="7"/>
        <v>2023</v>
      </c>
      <c r="T47" s="178">
        <f t="shared" ca="1" si="8"/>
        <v>365</v>
      </c>
      <c r="U47" s="178">
        <f t="shared" ca="1" si="9"/>
        <v>23</v>
      </c>
      <c r="V47" s="183">
        <f t="shared" ca="1" si="10"/>
        <v>22</v>
      </c>
      <c r="W47" s="184">
        <f t="shared" ca="1" si="11"/>
        <v>8</v>
      </c>
    </row>
    <row r="48" spans="1:23" x14ac:dyDescent="0.25">
      <c r="A48" s="179">
        <f t="shared" si="12"/>
        <v>24</v>
      </c>
      <c r="B48" s="173">
        <f t="shared" ca="1" si="4"/>
        <v>45253</v>
      </c>
      <c r="C48" s="173">
        <f t="shared" ca="1" si="5"/>
        <v>45253</v>
      </c>
      <c r="D48" s="179">
        <f t="shared" ca="1" si="21"/>
        <v>31</v>
      </c>
      <c r="E48" s="174">
        <f t="shared" si="22"/>
        <v>599999.92333333241</v>
      </c>
      <c r="F48" s="174">
        <f>IF(AND(A47="",A49=""),"",IF(A48="",ROUND(SUM($F$25:F47),2),IF(A48=$D$8,$E$24-ROUND(SUM($F$25:F47),2),ROUND($E$24/$D$8,2))))</f>
        <v>16666.669999999998</v>
      </c>
      <c r="G48" s="174">
        <f ca="1">IF(A47=$D$8,ROUND(SUM($G$25:G47),2),IF(A48&gt;$F$8,"",IF(T48&lt;&gt;T47,ROUND(SUM(V48*$F$9*E47/T48,W48*$F$9*E47/T47),2),ROUND(E47*$F$9*D48/T47,2))))</f>
        <v>10474.879999999999</v>
      </c>
      <c r="H48" s="174">
        <f ca="1">IF(A47=$D$8,SUM($H$25:H47),IF(A47&gt;$D$8,"",F48+G48))</f>
        <v>27141.549999999996</v>
      </c>
      <c r="I48" s="185" t="str">
        <f t="shared" si="23"/>
        <v/>
      </c>
      <c r="J48" s="185" t="str">
        <f t="shared" si="24"/>
        <v/>
      </c>
      <c r="K48" s="185"/>
      <c r="L48" s="185" t="str">
        <f t="shared" si="25"/>
        <v/>
      </c>
      <c r="M48" s="174" t="str">
        <f t="shared" si="19"/>
        <v/>
      </c>
      <c r="N48" s="174" t="str">
        <f t="shared" si="17"/>
        <v/>
      </c>
      <c r="O48" s="174"/>
      <c r="P48" s="181" t="str">
        <f>IF(A47=$D$8,XIRR(R$24:R47,C$24:C47),"")</f>
        <v/>
      </c>
      <c r="Q48" s="185" t="str">
        <f t="shared" si="14"/>
        <v/>
      </c>
      <c r="R48" s="177">
        <f t="shared" ca="1" si="6"/>
        <v>27141.549999999996</v>
      </c>
      <c r="S48" s="178">
        <f t="shared" ca="1" si="7"/>
        <v>2023</v>
      </c>
      <c r="T48" s="178">
        <f t="shared" ca="1" si="8"/>
        <v>365</v>
      </c>
      <c r="U48" s="178">
        <f t="shared" ca="1" si="9"/>
        <v>23</v>
      </c>
      <c r="V48" s="183">
        <f t="shared" ca="1" si="10"/>
        <v>22</v>
      </c>
      <c r="W48" s="184">
        <f t="shared" ca="1" si="11"/>
        <v>9</v>
      </c>
    </row>
    <row r="49" spans="1:23" x14ac:dyDescent="0.25">
      <c r="A49" s="179">
        <f t="shared" si="12"/>
        <v>25</v>
      </c>
      <c r="B49" s="173">
        <f t="shared" ca="1" si="4"/>
        <v>45283</v>
      </c>
      <c r="C49" s="173">
        <f t="shared" ca="1" si="5"/>
        <v>45283</v>
      </c>
      <c r="D49" s="179">
        <f t="shared" ca="1" si="21"/>
        <v>30</v>
      </c>
      <c r="E49" s="174">
        <f t="shared" si="22"/>
        <v>583333.25333333237</v>
      </c>
      <c r="F49" s="174">
        <f>IF(AND(A48="",A50=""),"",IF(A49="",ROUND(SUM($F$25:F48),2),IF(A49=$D$8,$E$24-ROUND(SUM($F$25:F48),2),ROUND($E$24/$D$8,2))))</f>
        <v>16666.669999999998</v>
      </c>
      <c r="G49" s="174">
        <f ca="1">IF(A48=$D$8,ROUND(SUM($G$25:G48),2),IF(A49&gt;$F$8,"",IF(T49&lt;&gt;T48,ROUND(SUM(V49*$F$9*E48/T49,W49*$F$9*E48/T48),2),ROUND(E48*$F$9*D49/T48,2))))</f>
        <v>9863.01</v>
      </c>
      <c r="H49" s="174">
        <f ca="1">IF(A48=$D$8,SUM($H$25:H48),IF(A48&gt;$D$8,"",F49+G49))</f>
        <v>26529.68</v>
      </c>
      <c r="I49" s="185" t="str">
        <f t="shared" si="23"/>
        <v/>
      </c>
      <c r="J49" s="185" t="str">
        <f t="shared" si="24"/>
        <v/>
      </c>
      <c r="K49" s="185">
        <f>IF($F$8&gt;24,($O$8+$O$10),IF($A$48=$F$8,$K$37+$K$24,""))</f>
        <v>7250</v>
      </c>
      <c r="L49" s="185" t="str">
        <f t="shared" si="25"/>
        <v/>
      </c>
      <c r="M49" s="174" t="str">
        <f t="shared" si="19"/>
        <v/>
      </c>
      <c r="N49" s="185">
        <f>IF($F$8&gt;24,($N$14),IF(A48=$F$8,N37+N24,""))</f>
        <v>0</v>
      </c>
      <c r="O49" s="174"/>
      <c r="P49" s="181" t="str">
        <f>IF(A48=$D$8,XIRR(R$24:R48,C$24:C48),"")</f>
        <v/>
      </c>
      <c r="Q49" s="185" t="str">
        <f t="shared" si="14"/>
        <v/>
      </c>
      <c r="R49" s="177">
        <f t="shared" ca="1" si="6"/>
        <v>33779.68</v>
      </c>
      <c r="S49" s="178">
        <f t="shared" ca="1" si="7"/>
        <v>2023</v>
      </c>
      <c r="T49" s="178">
        <f t="shared" ca="1" si="8"/>
        <v>365</v>
      </c>
      <c r="U49" s="178">
        <f t="shared" ca="1" si="9"/>
        <v>23</v>
      </c>
      <c r="V49" s="183">
        <f t="shared" ca="1" si="10"/>
        <v>22</v>
      </c>
      <c r="W49" s="184">
        <f t="shared" ca="1" si="11"/>
        <v>8</v>
      </c>
    </row>
    <row r="50" spans="1:23" x14ac:dyDescent="0.25">
      <c r="A50" s="179">
        <f t="shared" si="12"/>
        <v>26</v>
      </c>
      <c r="B50" s="173">
        <f t="shared" ca="1" si="4"/>
        <v>45314</v>
      </c>
      <c r="C50" s="173">
        <f t="shared" ca="1" si="5"/>
        <v>45314</v>
      </c>
      <c r="D50" s="179">
        <f t="shared" ca="1" si="21"/>
        <v>31</v>
      </c>
      <c r="E50" s="174">
        <f t="shared" si="22"/>
        <v>566666.58333333232</v>
      </c>
      <c r="F50" s="174">
        <f>IF(AND(A49="",A51=""),"",IF(A50="",ROUND(SUM($F$25:F49),2),IF(A50=$D$8,$E$24-ROUND(SUM($F$25:F49),2),ROUND($E$24/$D$8,2))))</f>
        <v>16666.669999999998</v>
      </c>
      <c r="G50" s="174">
        <f ca="1">IF(A49=$D$8,ROUND(SUM($G$25:G49),2),IF(A50&gt;$F$8,"",IF(T50&lt;&gt;T49,ROUND(SUM(V50*$F$9*E49/T50,W50*$F$9*E49/T49),2),ROUND(E49*$F$9*D50/T49,2))))</f>
        <v>9889.4599999999991</v>
      </c>
      <c r="H50" s="174">
        <f ca="1">IF(A49=$D$8,SUM($H$25:H49),IF(A49&gt;$D$8,"",F50+G50))</f>
        <v>26556.129999999997</v>
      </c>
      <c r="I50" s="185" t="str">
        <f t="shared" si="23"/>
        <v/>
      </c>
      <c r="J50" s="185" t="str">
        <f t="shared" si="24"/>
        <v/>
      </c>
      <c r="K50" s="185"/>
      <c r="L50" s="185" t="str">
        <f t="shared" si="25"/>
        <v/>
      </c>
      <c r="M50" s="174" t="str">
        <f t="shared" si="19"/>
        <v/>
      </c>
      <c r="N50" s="174" t="str">
        <f t="shared" si="17"/>
        <v/>
      </c>
      <c r="O50" s="174"/>
      <c r="P50" s="181" t="str">
        <f>IF(A49=$D$8,XIRR(R$24:R49,C$24:C49),"")</f>
        <v/>
      </c>
      <c r="Q50" s="185" t="str">
        <f t="shared" si="14"/>
        <v/>
      </c>
      <c r="R50" s="177">
        <f t="shared" ca="1" si="6"/>
        <v>26556.129999999997</v>
      </c>
      <c r="S50" s="178">
        <f t="shared" ca="1" si="7"/>
        <v>2024</v>
      </c>
      <c r="T50" s="178">
        <f t="shared" ca="1" si="8"/>
        <v>366</v>
      </c>
      <c r="U50" s="178">
        <f t="shared" ca="1" si="9"/>
        <v>23</v>
      </c>
      <c r="V50" s="183">
        <f t="shared" ca="1" si="10"/>
        <v>22</v>
      </c>
      <c r="W50" s="184">
        <f t="shared" ca="1" si="11"/>
        <v>9</v>
      </c>
    </row>
    <row r="51" spans="1:23" x14ac:dyDescent="0.25">
      <c r="A51" s="179">
        <f t="shared" si="12"/>
        <v>27</v>
      </c>
      <c r="B51" s="173">
        <f t="shared" ca="1" si="4"/>
        <v>45345</v>
      </c>
      <c r="C51" s="173">
        <f t="shared" ca="1" si="5"/>
        <v>45345</v>
      </c>
      <c r="D51" s="179">
        <f t="shared" ca="1" si="21"/>
        <v>31</v>
      </c>
      <c r="E51" s="174">
        <f t="shared" si="22"/>
        <v>549999.91333333228</v>
      </c>
      <c r="F51" s="174">
        <f>IF(AND(A50="",A52=""),"",IF(A51="",ROUND(SUM($F$25:F50),2),IF(A51=$D$8,$E$24-ROUND(SUM($F$25:F50),2),ROUND($E$24/$D$8,2))))</f>
        <v>16666.669999999998</v>
      </c>
      <c r="G51" s="174">
        <f ca="1">IF(A50=$D$8,ROUND(SUM($G$25:G50),2),IF(A51&gt;$F$8,"",IF(T51&lt;&gt;T50,ROUND(SUM(V51*$F$9*E50/T51,W51*$F$9*E50/T50),2),ROUND(E50*$F$9*D51/T50,2))))</f>
        <v>9599.27</v>
      </c>
      <c r="H51" s="174">
        <f ca="1">IF(A50=$D$8,SUM($H$25:H50),IF(A50&gt;$D$8,"",F51+G51))</f>
        <v>26265.94</v>
      </c>
      <c r="I51" s="185" t="str">
        <f t="shared" si="23"/>
        <v/>
      </c>
      <c r="J51" s="185" t="str">
        <f t="shared" si="24"/>
        <v/>
      </c>
      <c r="K51" s="185"/>
      <c r="L51" s="185" t="str">
        <f t="shared" si="25"/>
        <v/>
      </c>
      <c r="M51" s="174" t="str">
        <f t="shared" si="19"/>
        <v/>
      </c>
      <c r="N51" s="174" t="str">
        <f t="shared" si="17"/>
        <v/>
      </c>
      <c r="O51" s="174"/>
      <c r="P51" s="181" t="str">
        <f>IF(A50=$D$8,XIRR(R$24:R50,C$24:C50),"")</f>
        <v/>
      </c>
      <c r="Q51" s="185" t="str">
        <f t="shared" si="14"/>
        <v/>
      </c>
      <c r="R51" s="177">
        <f t="shared" ca="1" si="6"/>
        <v>26265.94</v>
      </c>
      <c r="S51" s="178">
        <f t="shared" ca="1" si="7"/>
        <v>2024</v>
      </c>
      <c r="T51" s="178">
        <f t="shared" ca="1" si="8"/>
        <v>366</v>
      </c>
      <c r="U51" s="178">
        <f t="shared" ca="1" si="9"/>
        <v>23</v>
      </c>
      <c r="V51" s="183">
        <f t="shared" ca="1" si="10"/>
        <v>22</v>
      </c>
      <c r="W51" s="184">
        <f t="shared" ca="1" si="11"/>
        <v>9</v>
      </c>
    </row>
    <row r="52" spans="1:23" x14ac:dyDescent="0.25">
      <c r="A52" s="179">
        <f t="shared" si="12"/>
        <v>28</v>
      </c>
      <c r="B52" s="173">
        <f t="shared" ca="1" si="4"/>
        <v>45374</v>
      </c>
      <c r="C52" s="173">
        <f t="shared" ca="1" si="5"/>
        <v>45374</v>
      </c>
      <c r="D52" s="179">
        <f t="shared" ca="1" si="21"/>
        <v>29</v>
      </c>
      <c r="E52" s="174">
        <f t="shared" si="22"/>
        <v>533333.24333333224</v>
      </c>
      <c r="F52" s="174">
        <f>IF(AND(A51="",A53=""),"",IF(A52="",ROUND(SUM($F$25:F51),2),IF(A52=$D$8,$E$24-ROUND(SUM($F$25:F51),2),ROUND($E$24/$D$8,2))))</f>
        <v>16666.669999999998</v>
      </c>
      <c r="G52" s="174">
        <f ca="1">IF(A51=$D$8,ROUND(SUM($G$25:G51),2),IF(A52&gt;$F$8,"",IF(T52&lt;&gt;T51,ROUND(SUM(V52*$F$9*E51/T52,W52*$F$9*E51/T51),2),ROUND(E51*$F$9*D52/T51,2))))</f>
        <v>8715.85</v>
      </c>
      <c r="H52" s="174">
        <f ca="1">IF(A51=$D$8,SUM($H$25:H51),IF(A51&gt;$D$8,"",F52+G52))</f>
        <v>25382.519999999997</v>
      </c>
      <c r="I52" s="185" t="str">
        <f t="shared" si="23"/>
        <v/>
      </c>
      <c r="J52" s="185" t="str">
        <f t="shared" si="24"/>
        <v/>
      </c>
      <c r="K52" s="185"/>
      <c r="L52" s="185" t="str">
        <f t="shared" si="25"/>
        <v/>
      </c>
      <c r="M52" s="174" t="str">
        <f t="shared" si="19"/>
        <v/>
      </c>
      <c r="N52" s="174" t="str">
        <f t="shared" si="17"/>
        <v/>
      </c>
      <c r="O52" s="174"/>
      <c r="P52" s="181" t="str">
        <f>IF(A51=$D$8,XIRR(R$24:R51,C$24:C51),"")</f>
        <v/>
      </c>
      <c r="Q52" s="185" t="str">
        <f t="shared" si="14"/>
        <v/>
      </c>
      <c r="R52" s="177">
        <f t="shared" ca="1" si="6"/>
        <v>25382.519999999997</v>
      </c>
      <c r="S52" s="178">
        <f t="shared" ca="1" si="7"/>
        <v>2024</v>
      </c>
      <c r="T52" s="178">
        <f t="shared" ca="1" si="8"/>
        <v>366</v>
      </c>
      <c r="U52" s="178">
        <f t="shared" ca="1" si="9"/>
        <v>23</v>
      </c>
      <c r="V52" s="183">
        <f t="shared" ca="1" si="10"/>
        <v>22</v>
      </c>
      <c r="W52" s="184">
        <f t="shared" ca="1" si="11"/>
        <v>7</v>
      </c>
    </row>
    <row r="53" spans="1:23" x14ac:dyDescent="0.25">
      <c r="A53" s="179">
        <f t="shared" si="12"/>
        <v>29</v>
      </c>
      <c r="B53" s="173">
        <f t="shared" ca="1" si="4"/>
        <v>45405</v>
      </c>
      <c r="C53" s="173">
        <f t="shared" ca="1" si="5"/>
        <v>45405</v>
      </c>
      <c r="D53" s="179">
        <f t="shared" ca="1" si="21"/>
        <v>31</v>
      </c>
      <c r="E53" s="174">
        <f t="shared" si="22"/>
        <v>516666.57333333226</v>
      </c>
      <c r="F53" s="174">
        <f>IF(AND(A52="",A54=""),"",IF(A53="",ROUND(SUM($F$25:F52),2),IF(A53=$D$8,$E$24-ROUND(SUM($F$25:F52),2),ROUND($E$24/$D$8,2))))</f>
        <v>16666.669999999998</v>
      </c>
      <c r="G53" s="174">
        <f ca="1">IF(A52=$D$8,ROUND(SUM($G$25:G52),2),IF(A53&gt;$F$8,"",IF(T53&lt;&gt;T52,ROUND(SUM(V53*$F$9*E52/T53,W53*$F$9*E52/T52),2),ROUND(E52*$F$9*D53/T52,2))))</f>
        <v>9034.61</v>
      </c>
      <c r="H53" s="174">
        <f ca="1">IF(A52=$D$8,SUM($H$25:H52),IF(A52&gt;$D$8,"",F53+G53))</f>
        <v>25701.279999999999</v>
      </c>
      <c r="I53" s="185" t="str">
        <f t="shared" si="23"/>
        <v/>
      </c>
      <c r="J53" s="185" t="str">
        <f t="shared" si="24"/>
        <v/>
      </c>
      <c r="K53" s="185"/>
      <c r="L53" s="185" t="str">
        <f t="shared" si="25"/>
        <v/>
      </c>
      <c r="M53" s="174" t="str">
        <f t="shared" si="19"/>
        <v/>
      </c>
      <c r="N53" s="174" t="str">
        <f t="shared" si="17"/>
        <v/>
      </c>
      <c r="O53" s="174"/>
      <c r="P53" s="181" t="str">
        <f>IF(A52=$D$8,XIRR(R$24:R52,C$24:C52),"")</f>
        <v/>
      </c>
      <c r="Q53" s="185" t="str">
        <f t="shared" si="14"/>
        <v/>
      </c>
      <c r="R53" s="177">
        <f t="shared" ca="1" si="6"/>
        <v>25701.279999999999</v>
      </c>
      <c r="S53" s="178">
        <f t="shared" ca="1" si="7"/>
        <v>2024</v>
      </c>
      <c r="T53" s="178">
        <f t="shared" ca="1" si="8"/>
        <v>366</v>
      </c>
      <c r="U53" s="178">
        <f t="shared" ca="1" si="9"/>
        <v>23</v>
      </c>
      <c r="V53" s="183">
        <f t="shared" ca="1" si="10"/>
        <v>22</v>
      </c>
      <c r="W53" s="184">
        <f t="shared" ca="1" si="11"/>
        <v>9</v>
      </c>
    </row>
    <row r="54" spans="1:23" x14ac:dyDescent="0.25">
      <c r="A54" s="179">
        <f t="shared" si="12"/>
        <v>30</v>
      </c>
      <c r="B54" s="173">
        <f t="shared" ca="1" si="4"/>
        <v>45435</v>
      </c>
      <c r="C54" s="173">
        <f t="shared" ca="1" si="5"/>
        <v>45435</v>
      </c>
      <c r="D54" s="179">
        <f t="shared" ca="1" si="21"/>
        <v>30</v>
      </c>
      <c r="E54" s="174">
        <f t="shared" si="22"/>
        <v>499999.90333333227</v>
      </c>
      <c r="F54" s="174">
        <f>IF(AND(A53="",A55=""),"",IF(A54="",ROUND(SUM($F$25:F53),2),IF(A54=$D$8,$E$24-ROUND(SUM($F$25:F53),2),ROUND($E$24/$D$8,2))))</f>
        <v>16666.669999999998</v>
      </c>
      <c r="G54" s="174">
        <f ca="1">IF(A53=$D$8,ROUND(SUM($G$25:G53),2),IF(A54&gt;$F$8,"",IF(T54&lt;&gt;T53,ROUND(SUM(V54*$F$9*E53/T54,W54*$F$9*E53/T53),2),ROUND(E53*$F$9*D54/T53,2))))</f>
        <v>8469.94</v>
      </c>
      <c r="H54" s="174">
        <f ca="1">IF(A53=$D$8,SUM($H$25:H53),IF(A53&gt;$D$8,"",F54+G54))</f>
        <v>25136.61</v>
      </c>
      <c r="I54" s="185" t="str">
        <f t="shared" si="23"/>
        <v/>
      </c>
      <c r="J54" s="185" t="str">
        <f t="shared" si="24"/>
        <v/>
      </c>
      <c r="K54" s="185"/>
      <c r="L54" s="185" t="str">
        <f t="shared" si="25"/>
        <v/>
      </c>
      <c r="M54" s="174" t="str">
        <f t="shared" si="19"/>
        <v/>
      </c>
      <c r="N54" s="174" t="str">
        <f t="shared" si="17"/>
        <v/>
      </c>
      <c r="O54" s="174"/>
      <c r="P54" s="181" t="str">
        <f>IF(A53=$D$8,XIRR(R$24:R53,C$24:C53),"")</f>
        <v/>
      </c>
      <c r="Q54" s="185" t="str">
        <f t="shared" si="14"/>
        <v/>
      </c>
      <c r="R54" s="177">
        <f t="shared" ca="1" si="6"/>
        <v>25136.61</v>
      </c>
      <c r="S54" s="178">
        <f t="shared" ca="1" si="7"/>
        <v>2024</v>
      </c>
      <c r="T54" s="178">
        <f t="shared" ca="1" si="8"/>
        <v>366</v>
      </c>
      <c r="U54" s="178">
        <f t="shared" ca="1" si="9"/>
        <v>23</v>
      </c>
      <c r="V54" s="183">
        <f t="shared" ca="1" si="10"/>
        <v>22</v>
      </c>
      <c r="W54" s="184">
        <f t="shared" ca="1" si="11"/>
        <v>8</v>
      </c>
    </row>
    <row r="55" spans="1:23" x14ac:dyDescent="0.25">
      <c r="A55" s="179">
        <f t="shared" si="12"/>
        <v>31</v>
      </c>
      <c r="B55" s="173">
        <f t="shared" ca="1" si="4"/>
        <v>45466</v>
      </c>
      <c r="C55" s="173">
        <f t="shared" ca="1" si="5"/>
        <v>45466</v>
      </c>
      <c r="D55" s="179">
        <f t="shared" ca="1" si="21"/>
        <v>31</v>
      </c>
      <c r="E55" s="174">
        <f t="shared" si="22"/>
        <v>483333.23333333229</v>
      </c>
      <c r="F55" s="174">
        <f>IF(AND(A54="",A56=""),"",IF(A55="",ROUND(SUM($F$25:F54),2),IF(A55=$D$8,$E$24-ROUND(SUM($F$25:F54),2),ROUND($E$24/$D$8,2))))</f>
        <v>16666.669999999998</v>
      </c>
      <c r="G55" s="174">
        <f ca="1">IF(A54=$D$8,ROUND(SUM($G$25:G54),2),IF(A55&gt;$F$8,"",IF(T55&lt;&gt;T54,ROUND(SUM(V55*$F$9*E54/T55,W55*$F$9*E54/T54),2),ROUND(E54*$F$9*D55/T54,2))))</f>
        <v>8469.94</v>
      </c>
      <c r="H55" s="174">
        <f ca="1">IF(A54=$D$8,SUM($H$25:H54),IF(A54&gt;$D$8,"",F55+G55))</f>
        <v>25136.61</v>
      </c>
      <c r="I55" s="185" t="str">
        <f t="shared" si="23"/>
        <v/>
      </c>
      <c r="J55" s="185" t="str">
        <f t="shared" si="24"/>
        <v/>
      </c>
      <c r="K55" s="185"/>
      <c r="L55" s="185" t="str">
        <f t="shared" si="25"/>
        <v/>
      </c>
      <c r="M55" s="174" t="str">
        <f t="shared" si="19"/>
        <v/>
      </c>
      <c r="N55" s="174" t="str">
        <f t="shared" si="17"/>
        <v/>
      </c>
      <c r="O55" s="174"/>
      <c r="P55" s="181" t="str">
        <f>IF(A54=$D$8,XIRR(R$24:R54,C$24:C54),"")</f>
        <v/>
      </c>
      <c r="Q55" s="185" t="str">
        <f t="shared" si="14"/>
        <v/>
      </c>
      <c r="R55" s="177">
        <f t="shared" ca="1" si="6"/>
        <v>25136.61</v>
      </c>
      <c r="S55" s="178">
        <f t="shared" ca="1" si="7"/>
        <v>2024</v>
      </c>
      <c r="T55" s="178">
        <f t="shared" ca="1" si="8"/>
        <v>366</v>
      </c>
      <c r="U55" s="178">
        <f t="shared" ca="1" si="9"/>
        <v>23</v>
      </c>
      <c r="V55" s="183">
        <f t="shared" ca="1" si="10"/>
        <v>22</v>
      </c>
      <c r="W55" s="184">
        <f t="shared" ca="1" si="11"/>
        <v>9</v>
      </c>
    </row>
    <row r="56" spans="1:23" x14ac:dyDescent="0.25">
      <c r="A56" s="179">
        <f t="shared" si="12"/>
        <v>32</v>
      </c>
      <c r="B56" s="173">
        <f t="shared" ca="1" si="4"/>
        <v>45496</v>
      </c>
      <c r="C56" s="173">
        <f t="shared" ca="1" si="5"/>
        <v>45496</v>
      </c>
      <c r="D56" s="179">
        <f t="shared" ca="1" si="21"/>
        <v>30</v>
      </c>
      <c r="E56" s="174">
        <f t="shared" si="22"/>
        <v>466666.56333333231</v>
      </c>
      <c r="F56" s="174">
        <f>IF(AND(A55="",A57=""),"",IF(A56="",ROUND(SUM($F$25:F55),2),IF(A56=$D$8,$E$24-ROUND(SUM($F$25:F55),2),ROUND($E$24/$D$8,2))))</f>
        <v>16666.669999999998</v>
      </c>
      <c r="G56" s="174">
        <f ca="1">IF(A55=$D$8,ROUND(SUM($G$25:G55),2),IF(A56&gt;$F$8,"",IF(T56&lt;&gt;T55,ROUND(SUM(V56*$F$9*E55/T56,W56*$F$9*E55/T55),2),ROUND(E55*$F$9*D56/T55,2))))</f>
        <v>7923.5</v>
      </c>
      <c r="H56" s="174">
        <f ca="1">IF(A55=$D$8,SUM($H$25:H55),IF(A55&gt;$D$8,"",F56+G56))</f>
        <v>24590.17</v>
      </c>
      <c r="I56" s="185" t="str">
        <f t="shared" si="23"/>
        <v/>
      </c>
      <c r="J56" s="185" t="str">
        <f t="shared" si="24"/>
        <v/>
      </c>
      <c r="K56" s="185"/>
      <c r="L56" s="185" t="str">
        <f t="shared" si="25"/>
        <v/>
      </c>
      <c r="M56" s="174" t="str">
        <f t="shared" si="19"/>
        <v/>
      </c>
      <c r="N56" s="174" t="str">
        <f t="shared" si="17"/>
        <v/>
      </c>
      <c r="O56" s="174"/>
      <c r="P56" s="181" t="str">
        <f>IF(A55=$D$8,XIRR(R$24:R55,C$24:C55),"")</f>
        <v/>
      </c>
      <c r="Q56" s="185" t="str">
        <f t="shared" si="14"/>
        <v/>
      </c>
      <c r="R56" s="177">
        <f t="shared" ca="1" si="6"/>
        <v>24590.17</v>
      </c>
      <c r="S56" s="178">
        <f t="shared" ca="1" si="7"/>
        <v>2024</v>
      </c>
      <c r="T56" s="178">
        <f t="shared" ca="1" si="8"/>
        <v>366</v>
      </c>
      <c r="U56" s="178">
        <f t="shared" ca="1" si="9"/>
        <v>23</v>
      </c>
      <c r="V56" s="183">
        <f t="shared" ca="1" si="10"/>
        <v>22</v>
      </c>
      <c r="W56" s="184">
        <f t="shared" ca="1" si="11"/>
        <v>8</v>
      </c>
    </row>
    <row r="57" spans="1:23" x14ac:dyDescent="0.25">
      <c r="A57" s="179">
        <f t="shared" si="12"/>
        <v>33</v>
      </c>
      <c r="B57" s="173">
        <f t="shared" ca="1" si="4"/>
        <v>45527</v>
      </c>
      <c r="C57" s="173">
        <f t="shared" ca="1" si="5"/>
        <v>45527</v>
      </c>
      <c r="D57" s="179">
        <f t="shared" ca="1" si="21"/>
        <v>31</v>
      </c>
      <c r="E57" s="174">
        <f t="shared" si="22"/>
        <v>449999.89333333232</v>
      </c>
      <c r="F57" s="174">
        <f>IF(AND(A56="",A58=""),"",IF(A57="",ROUND(SUM($F$25:F56),2),IF(A57=$D$8,$E$24-ROUND(SUM($F$25:F56),2),ROUND($E$24/$D$8,2))))</f>
        <v>16666.669999999998</v>
      </c>
      <c r="G57" s="174">
        <f ca="1">IF(A56=$D$8,ROUND(SUM($G$25:G56),2),IF(A57&gt;$F$8,"",IF(T57&lt;&gt;T56,ROUND(SUM(V57*$F$9*E56/T57,W57*$F$9*E56/T56),2),ROUND(E56*$F$9*D57/T56,2))))</f>
        <v>7905.28</v>
      </c>
      <c r="H57" s="174">
        <f ca="1">IF(A56=$D$8,SUM($H$25:H56),IF(A56&gt;$D$8,"",F57+G57))</f>
        <v>24571.949999999997</v>
      </c>
      <c r="I57" s="185" t="str">
        <f t="shared" si="23"/>
        <v/>
      </c>
      <c r="J57" s="185" t="str">
        <f t="shared" si="24"/>
        <v/>
      </c>
      <c r="K57" s="185"/>
      <c r="L57" s="185" t="str">
        <f t="shared" si="25"/>
        <v/>
      </c>
      <c r="M57" s="174" t="str">
        <f t="shared" si="19"/>
        <v/>
      </c>
      <c r="N57" s="174" t="str">
        <f t="shared" si="17"/>
        <v/>
      </c>
      <c r="O57" s="174"/>
      <c r="P57" s="181" t="str">
        <f>IF(A56=$D$8,XIRR(R$24:R56,C$24:C56),"")</f>
        <v/>
      </c>
      <c r="Q57" s="185" t="str">
        <f t="shared" si="14"/>
        <v/>
      </c>
      <c r="R57" s="177">
        <f t="shared" ca="1" si="6"/>
        <v>24571.949999999997</v>
      </c>
      <c r="S57" s="178">
        <f t="shared" ca="1" si="7"/>
        <v>2024</v>
      </c>
      <c r="T57" s="178">
        <f t="shared" ca="1" si="8"/>
        <v>366</v>
      </c>
      <c r="U57" s="178">
        <f t="shared" ca="1" si="9"/>
        <v>23</v>
      </c>
      <c r="V57" s="183">
        <f t="shared" ca="1" si="10"/>
        <v>22</v>
      </c>
      <c r="W57" s="184">
        <f t="shared" ca="1" si="11"/>
        <v>9</v>
      </c>
    </row>
    <row r="58" spans="1:23" x14ac:dyDescent="0.25">
      <c r="A58" s="179">
        <f t="shared" si="12"/>
        <v>34</v>
      </c>
      <c r="B58" s="173">
        <f t="shared" ca="1" si="4"/>
        <v>45558</v>
      </c>
      <c r="C58" s="173">
        <f t="shared" ca="1" si="5"/>
        <v>45558</v>
      </c>
      <c r="D58" s="179">
        <f t="shared" ca="1" si="21"/>
        <v>31</v>
      </c>
      <c r="E58" s="174">
        <f t="shared" si="22"/>
        <v>433333.22333333234</v>
      </c>
      <c r="F58" s="174">
        <f>IF(AND(A57="",A59=""),"",IF(A58="",ROUND(SUM($F$25:F57),2),IF(A58=$D$8,$E$24-ROUND(SUM($F$25:F57),2),ROUND($E$24/$D$8,2))))</f>
        <v>16666.669999999998</v>
      </c>
      <c r="G58" s="174">
        <f ca="1">IF(A57=$D$8,ROUND(SUM($G$25:G57),2),IF(A58&gt;$F$8,"",IF(T58&lt;&gt;T57,ROUND(SUM(V58*$F$9*E57/T58,W58*$F$9*E57/T57),2),ROUND(E57*$F$9*D58/T57,2))))</f>
        <v>7622.95</v>
      </c>
      <c r="H58" s="174">
        <f ca="1">IF(A57=$D$8,SUM($H$25:H57),IF(A57&gt;$D$8,"",F58+G58))</f>
        <v>24289.62</v>
      </c>
      <c r="I58" s="185" t="str">
        <f t="shared" si="23"/>
        <v/>
      </c>
      <c r="J58" s="185" t="str">
        <f t="shared" si="24"/>
        <v/>
      </c>
      <c r="K58" s="185"/>
      <c r="L58" s="185" t="str">
        <f t="shared" si="25"/>
        <v/>
      </c>
      <c r="M58" s="174" t="str">
        <f t="shared" si="19"/>
        <v/>
      </c>
      <c r="N58" s="174" t="str">
        <f t="shared" si="17"/>
        <v/>
      </c>
      <c r="O58" s="174"/>
      <c r="P58" s="181" t="str">
        <f>IF(A57=$D$8,XIRR(R$24:R57,C$24:C57),"")</f>
        <v/>
      </c>
      <c r="Q58" s="185" t="str">
        <f t="shared" si="14"/>
        <v/>
      </c>
      <c r="R58" s="177">
        <f t="shared" ca="1" si="6"/>
        <v>24289.62</v>
      </c>
      <c r="S58" s="178">
        <f t="shared" ca="1" si="7"/>
        <v>2024</v>
      </c>
      <c r="T58" s="178">
        <f t="shared" ca="1" si="8"/>
        <v>366</v>
      </c>
      <c r="U58" s="178">
        <f t="shared" ca="1" si="9"/>
        <v>23</v>
      </c>
      <c r="V58" s="183">
        <f t="shared" ca="1" si="10"/>
        <v>22</v>
      </c>
      <c r="W58" s="184">
        <f t="shared" ca="1" si="11"/>
        <v>9</v>
      </c>
    </row>
    <row r="59" spans="1:23" x14ac:dyDescent="0.25">
      <c r="A59" s="179">
        <f t="shared" si="12"/>
        <v>35</v>
      </c>
      <c r="B59" s="173">
        <f t="shared" ca="1" si="4"/>
        <v>45588</v>
      </c>
      <c r="C59" s="173">
        <f t="shared" ca="1" si="5"/>
        <v>45588</v>
      </c>
      <c r="D59" s="179">
        <f t="shared" ca="1" si="21"/>
        <v>30</v>
      </c>
      <c r="E59" s="174">
        <f t="shared" si="22"/>
        <v>416666.55333333235</v>
      </c>
      <c r="F59" s="174">
        <f>IF(AND(A58="",A60=""),"",IF(A59="",ROUND(SUM($F$25:F58),2),IF(A59=$D$8,$E$24-ROUND(SUM($F$25:F58),2),ROUND($E$24/$D$8,2))))</f>
        <v>16666.669999999998</v>
      </c>
      <c r="G59" s="174">
        <f ca="1">IF(A58=$D$8,ROUND(SUM($G$25:G58),2),IF(A59&gt;$F$8,"",IF(T59&lt;&gt;T58,ROUND(SUM(V59*$F$9*E58/T59,W59*$F$9*E58/T58),2),ROUND(E58*$F$9*D59/T58,2))))</f>
        <v>7103.82</v>
      </c>
      <c r="H59" s="174">
        <f ca="1">IF(A58=$D$8,SUM($H$25:H58),IF(A58&gt;$D$8,"",F59+G59))</f>
        <v>23770.489999999998</v>
      </c>
      <c r="I59" s="185" t="str">
        <f t="shared" si="23"/>
        <v/>
      </c>
      <c r="J59" s="185" t="str">
        <f t="shared" si="24"/>
        <v/>
      </c>
      <c r="K59" s="185"/>
      <c r="L59" s="185" t="str">
        <f t="shared" si="25"/>
        <v/>
      </c>
      <c r="M59" s="174" t="str">
        <f t="shared" si="19"/>
        <v/>
      </c>
      <c r="N59" s="174" t="str">
        <f t="shared" si="17"/>
        <v/>
      </c>
      <c r="O59" s="174"/>
      <c r="P59" s="181" t="str">
        <f>IF(A58=$D$8,XIRR(R$24:R58,C$24:C58),"")</f>
        <v/>
      </c>
      <c r="Q59" s="185" t="str">
        <f t="shared" si="14"/>
        <v/>
      </c>
      <c r="R59" s="177">
        <f t="shared" ca="1" si="6"/>
        <v>23770.489999999998</v>
      </c>
      <c r="S59" s="178">
        <f t="shared" ca="1" si="7"/>
        <v>2024</v>
      </c>
      <c r="T59" s="178">
        <f t="shared" ca="1" si="8"/>
        <v>366</v>
      </c>
      <c r="U59" s="178">
        <f t="shared" ca="1" si="9"/>
        <v>23</v>
      </c>
      <c r="V59" s="183">
        <f t="shared" ca="1" si="10"/>
        <v>22</v>
      </c>
      <c r="W59" s="184">
        <f t="shared" ca="1" si="11"/>
        <v>8</v>
      </c>
    </row>
    <row r="60" spans="1:23" x14ac:dyDescent="0.25">
      <c r="A60" s="179">
        <f t="shared" si="12"/>
        <v>36</v>
      </c>
      <c r="B60" s="173">
        <f t="shared" ca="1" si="4"/>
        <v>45619</v>
      </c>
      <c r="C60" s="173">
        <f t="shared" ca="1" si="5"/>
        <v>45619</v>
      </c>
      <c r="D60" s="179">
        <f t="shared" ca="1" si="21"/>
        <v>31</v>
      </c>
      <c r="E60" s="174">
        <f t="shared" si="22"/>
        <v>399999.88333333237</v>
      </c>
      <c r="F60" s="174">
        <f>IF(AND(A59="",A61=""),"",IF(A60="",ROUND(SUM($F$25:F59),2),IF(A60=$D$8,$E$24-ROUND(SUM($F$25:F59),2),ROUND($E$24/$D$8,2))))</f>
        <v>16666.669999999998</v>
      </c>
      <c r="G60" s="174">
        <f ca="1">IF(A59=$D$8,ROUND(SUM($G$25:G59),2),IF(A60&gt;$F$8,"",IF(T60&lt;&gt;T59,ROUND(SUM(V60*$F$9*E59/T60,W60*$F$9*E59/T59),2),ROUND(E59*$F$9*D60/T59,2))))</f>
        <v>7058.29</v>
      </c>
      <c r="H60" s="174">
        <f ca="1">IF(A59=$D$8,SUM($H$25:H59),IF(A59&gt;$D$8,"",F60+G60))</f>
        <v>23724.959999999999</v>
      </c>
      <c r="I60" s="185" t="str">
        <f t="shared" si="23"/>
        <v/>
      </c>
      <c r="J60" s="185" t="str">
        <f t="shared" si="24"/>
        <v/>
      </c>
      <c r="K60" s="185"/>
      <c r="L60" s="185" t="str">
        <f t="shared" si="25"/>
        <v/>
      </c>
      <c r="M60" s="174" t="str">
        <f t="shared" si="19"/>
        <v/>
      </c>
      <c r="N60" s="174" t="str">
        <f t="shared" si="17"/>
        <v/>
      </c>
      <c r="O60" s="174"/>
      <c r="P60" s="181" t="str">
        <f>IF(A59=$D$8,XIRR(R$24:R59,C$24:C59),"")</f>
        <v/>
      </c>
      <c r="Q60" s="185" t="str">
        <f t="shared" si="14"/>
        <v/>
      </c>
      <c r="R60" s="177">
        <f t="shared" ca="1" si="6"/>
        <v>23724.959999999999</v>
      </c>
      <c r="S60" s="178">
        <f t="shared" ca="1" si="7"/>
        <v>2024</v>
      </c>
      <c r="T60" s="178">
        <f t="shared" ca="1" si="8"/>
        <v>366</v>
      </c>
      <c r="U60" s="178">
        <f t="shared" ca="1" si="9"/>
        <v>23</v>
      </c>
      <c r="V60" s="183">
        <f t="shared" ca="1" si="10"/>
        <v>22</v>
      </c>
      <c r="W60" s="184">
        <f t="shared" ca="1" si="11"/>
        <v>9</v>
      </c>
    </row>
    <row r="61" spans="1:23" x14ac:dyDescent="0.25">
      <c r="A61" s="179">
        <f t="shared" si="12"/>
        <v>37</v>
      </c>
      <c r="B61" s="173">
        <f t="shared" ca="1" si="4"/>
        <v>45649</v>
      </c>
      <c r="C61" s="173">
        <f t="shared" ca="1" si="5"/>
        <v>45649</v>
      </c>
      <c r="D61" s="179">
        <f t="shared" ca="1" si="21"/>
        <v>30</v>
      </c>
      <c r="E61" s="174">
        <f t="shared" si="22"/>
        <v>383333.21333333239</v>
      </c>
      <c r="F61" s="174">
        <f>IF(AND(A60="",A62=""),"",IF(A61="",ROUND(SUM($F$25:F60),2),IF(A61=$D$8,$E$24-ROUND(SUM($F$25:F60),2),ROUND($E$24/$D$8,2))))</f>
        <v>16666.669999999998</v>
      </c>
      <c r="G61" s="174">
        <f ca="1">IF(A60=$D$8,ROUND(SUM($G$25:G60),2),IF(A61&gt;$F$8,"",IF(T61&lt;&gt;T60,ROUND(SUM(V61*$F$9*E60/T61,W61*$F$9*E60/T60),2),ROUND(E60*$F$9*D61/T60,2))))</f>
        <v>6557.38</v>
      </c>
      <c r="H61" s="174">
        <f ca="1">IF(A60=$D$8,SUM($H$25:H60),IF(A60&gt;$D$8,"",F61+G61))</f>
        <v>23224.05</v>
      </c>
      <c r="I61" s="185" t="str">
        <f t="shared" si="23"/>
        <v/>
      </c>
      <c r="J61" s="185" t="str">
        <f t="shared" si="24"/>
        <v/>
      </c>
      <c r="K61" s="185">
        <f>IF($F$8&gt;36,($O$8+$O$10),IF($A$60=$F$8,$K$37+$K$24+$K$49,""))</f>
        <v>7250</v>
      </c>
      <c r="L61" s="185" t="str">
        <f t="shared" si="25"/>
        <v/>
      </c>
      <c r="M61" s="174" t="str">
        <f t="shared" si="19"/>
        <v/>
      </c>
      <c r="N61" s="185">
        <f>IF($F$8&gt;36,($N$14),IF(A60=$F$8,N49+N37+N24,""))</f>
        <v>0</v>
      </c>
      <c r="O61" s="174"/>
      <c r="P61" s="181" t="str">
        <f>IF(A60=$D$8,XIRR(R$24:R60,C$24:C60),"")</f>
        <v/>
      </c>
      <c r="Q61" s="185" t="str">
        <f t="shared" si="14"/>
        <v/>
      </c>
      <c r="R61" s="177">
        <f t="shared" ca="1" si="6"/>
        <v>30474.05</v>
      </c>
      <c r="S61" s="178">
        <f t="shared" ca="1" si="7"/>
        <v>2024</v>
      </c>
      <c r="T61" s="178">
        <f t="shared" ca="1" si="8"/>
        <v>366</v>
      </c>
      <c r="U61" s="178">
        <f t="shared" ca="1" si="9"/>
        <v>23</v>
      </c>
      <c r="V61" s="183">
        <f t="shared" ca="1" si="10"/>
        <v>22</v>
      </c>
      <c r="W61" s="184">
        <f t="shared" ca="1" si="11"/>
        <v>8</v>
      </c>
    </row>
    <row r="62" spans="1:23" x14ac:dyDescent="0.25">
      <c r="A62" s="179">
        <f t="shared" si="12"/>
        <v>38</v>
      </c>
      <c r="B62" s="173">
        <f t="shared" ca="1" si="4"/>
        <v>45680</v>
      </c>
      <c r="C62" s="173">
        <f t="shared" ca="1" si="5"/>
        <v>45680</v>
      </c>
      <c r="D62" s="179">
        <f t="shared" ca="1" si="21"/>
        <v>31</v>
      </c>
      <c r="E62" s="174">
        <f t="shared" si="22"/>
        <v>366666.5433333324</v>
      </c>
      <c r="F62" s="174">
        <f>IF(AND(A61="",A63=""),"",IF(A62="",ROUND(SUM($F$25:F61),2),IF(A62=$D$8,$E$24-ROUND(SUM($F$25:F61),2),ROUND($E$24/$D$8,2))))</f>
        <v>16666.669999999998</v>
      </c>
      <c r="G62" s="174">
        <f ca="1">IF(A61=$D$8,ROUND(SUM($G$25:G61),2),IF(A62&gt;$F$8,"",IF(T62&lt;&gt;T61,ROUND(SUM(V62*$F$9*E61/T62,W62*$F$9*E61/T61),2),ROUND(E61*$F$9*D62/T61,2))))</f>
        <v>6506.25</v>
      </c>
      <c r="H62" s="174">
        <f ca="1">IF(A61=$D$8,SUM($H$25:H61),IF(A61&gt;$D$8,"",F62+G62))</f>
        <v>23172.92</v>
      </c>
      <c r="I62" s="185" t="str">
        <f t="shared" si="23"/>
        <v/>
      </c>
      <c r="J62" s="185" t="str">
        <f t="shared" si="24"/>
        <v/>
      </c>
      <c r="K62" s="185"/>
      <c r="L62" s="185" t="str">
        <f t="shared" si="25"/>
        <v/>
      </c>
      <c r="M62" s="174" t="str">
        <f t="shared" si="19"/>
        <v/>
      </c>
      <c r="N62" s="174" t="str">
        <f t="shared" si="17"/>
        <v/>
      </c>
      <c r="O62" s="174"/>
      <c r="P62" s="181" t="str">
        <f>IF(A61=$D$8,XIRR(R$24:R61,C$24:C61),"")</f>
        <v/>
      </c>
      <c r="Q62" s="185" t="str">
        <f t="shared" si="14"/>
        <v/>
      </c>
      <c r="R62" s="177">
        <f t="shared" ca="1" si="6"/>
        <v>23172.92</v>
      </c>
      <c r="S62" s="178">
        <f t="shared" ca="1" si="7"/>
        <v>2025</v>
      </c>
      <c r="T62" s="178">
        <f t="shared" ca="1" si="8"/>
        <v>365</v>
      </c>
      <c r="U62" s="178">
        <f t="shared" ca="1" si="9"/>
        <v>23</v>
      </c>
      <c r="V62" s="183">
        <f t="shared" ca="1" si="10"/>
        <v>22</v>
      </c>
      <c r="W62" s="184">
        <f t="shared" ca="1" si="11"/>
        <v>9</v>
      </c>
    </row>
    <row r="63" spans="1:23" x14ac:dyDescent="0.25">
      <c r="A63" s="179">
        <f t="shared" si="12"/>
        <v>39</v>
      </c>
      <c r="B63" s="173">
        <f t="shared" ca="1" si="4"/>
        <v>45711</v>
      </c>
      <c r="C63" s="173">
        <f t="shared" ca="1" si="5"/>
        <v>45711</v>
      </c>
      <c r="D63" s="179">
        <f t="shared" ca="1" si="21"/>
        <v>31</v>
      </c>
      <c r="E63" s="174">
        <f t="shared" si="22"/>
        <v>349999.87333333242</v>
      </c>
      <c r="F63" s="174">
        <f>IF(AND(A62="",A64=""),"",IF(A63="",ROUND(SUM($F$25:F62),2),IF(A63=$D$8,$E$24-ROUND(SUM($F$25:F62),2),ROUND($E$24/$D$8,2))))</f>
        <v>16666.669999999998</v>
      </c>
      <c r="G63" s="174">
        <f ca="1">IF(A62=$D$8,ROUND(SUM($G$25:G62),2),IF(A63&gt;$F$8,"",IF(T63&lt;&gt;T62,ROUND(SUM(V63*$F$9*E62/T63,W63*$F$9*E62/T62),2),ROUND(E62*$F$9*D63/T62,2))))</f>
        <v>6228.31</v>
      </c>
      <c r="H63" s="174">
        <f ca="1">IF(A62=$D$8,SUM($H$25:H62),IF(A62&gt;$D$8,"",F63+G63))</f>
        <v>22894.98</v>
      </c>
      <c r="I63" s="185" t="str">
        <f t="shared" si="23"/>
        <v/>
      </c>
      <c r="J63" s="185" t="str">
        <f t="shared" si="24"/>
        <v/>
      </c>
      <c r="K63" s="185"/>
      <c r="L63" s="185" t="str">
        <f t="shared" si="25"/>
        <v/>
      </c>
      <c r="M63" s="174" t="str">
        <f t="shared" si="19"/>
        <v/>
      </c>
      <c r="N63" s="174" t="str">
        <f t="shared" si="17"/>
        <v/>
      </c>
      <c r="O63" s="174"/>
      <c r="P63" s="181" t="str">
        <f>IF(A62=$D$8,XIRR(R$24:R62,C$24:C62),"")</f>
        <v/>
      </c>
      <c r="Q63" s="185" t="str">
        <f t="shared" si="14"/>
        <v/>
      </c>
      <c r="R63" s="177">
        <f t="shared" ca="1" si="6"/>
        <v>22894.98</v>
      </c>
      <c r="S63" s="178">
        <f t="shared" ca="1" si="7"/>
        <v>2025</v>
      </c>
      <c r="T63" s="178">
        <f t="shared" ca="1" si="8"/>
        <v>365</v>
      </c>
      <c r="U63" s="178">
        <f t="shared" ca="1" si="9"/>
        <v>23</v>
      </c>
      <c r="V63" s="183">
        <f t="shared" ca="1" si="10"/>
        <v>22</v>
      </c>
      <c r="W63" s="184">
        <f t="shared" ca="1" si="11"/>
        <v>9</v>
      </c>
    </row>
    <row r="64" spans="1:23" x14ac:dyDescent="0.25">
      <c r="A64" s="179">
        <f t="shared" si="12"/>
        <v>40</v>
      </c>
      <c r="B64" s="173">
        <f t="shared" ca="1" si="4"/>
        <v>45739</v>
      </c>
      <c r="C64" s="173">
        <f t="shared" ca="1" si="5"/>
        <v>45739</v>
      </c>
      <c r="D64" s="179">
        <f t="shared" ca="1" si="21"/>
        <v>28</v>
      </c>
      <c r="E64" s="174">
        <f t="shared" si="22"/>
        <v>333333.20333333244</v>
      </c>
      <c r="F64" s="174">
        <f>IF(AND(A63="",A65=""),"",IF(A64="",ROUND(SUM($F$25:F63),2),IF(A64=$D$8,$E$24-ROUND(SUM($F$25:F63),2),ROUND($E$24/$D$8,2))))</f>
        <v>16666.669999999998</v>
      </c>
      <c r="G64" s="174">
        <f ca="1">IF(A63=$D$8,ROUND(SUM($G$25:G63),2),IF(A64&gt;$F$8,"",IF(T64&lt;&gt;T63,ROUND(SUM(V64*$F$9*E63/T64,W64*$F$9*E63/T63),2),ROUND(E63*$F$9*D64/T63,2))))</f>
        <v>5369.86</v>
      </c>
      <c r="H64" s="174">
        <f ca="1">IF(A63=$D$8,SUM($H$25:H63),IF(A63&gt;$D$8,"",F64+G64))</f>
        <v>22036.53</v>
      </c>
      <c r="I64" s="185" t="str">
        <f t="shared" si="23"/>
        <v/>
      </c>
      <c r="J64" s="185" t="str">
        <f t="shared" si="24"/>
        <v/>
      </c>
      <c r="K64" s="185"/>
      <c r="L64" s="185" t="str">
        <f t="shared" si="25"/>
        <v/>
      </c>
      <c r="M64" s="174" t="str">
        <f t="shared" si="19"/>
        <v/>
      </c>
      <c r="N64" s="174" t="str">
        <f t="shared" si="17"/>
        <v/>
      </c>
      <c r="O64" s="174"/>
      <c r="P64" s="181" t="str">
        <f>IF(A63=$D$8,XIRR(R$24:R63,C$24:C63),"")</f>
        <v/>
      </c>
      <c r="Q64" s="185" t="str">
        <f t="shared" si="14"/>
        <v/>
      </c>
      <c r="R64" s="177">
        <f t="shared" ca="1" si="6"/>
        <v>22036.53</v>
      </c>
      <c r="S64" s="178">
        <f t="shared" ca="1" si="7"/>
        <v>2025</v>
      </c>
      <c r="T64" s="178">
        <f t="shared" ca="1" si="8"/>
        <v>365</v>
      </c>
      <c r="U64" s="178">
        <f t="shared" ca="1" si="9"/>
        <v>23</v>
      </c>
      <c r="V64" s="183">
        <f t="shared" ca="1" si="10"/>
        <v>22</v>
      </c>
      <c r="W64" s="184">
        <f t="shared" ca="1" si="11"/>
        <v>6</v>
      </c>
    </row>
    <row r="65" spans="1:23" x14ac:dyDescent="0.25">
      <c r="A65" s="179">
        <f t="shared" si="12"/>
        <v>41</v>
      </c>
      <c r="B65" s="173">
        <f t="shared" ca="1" si="4"/>
        <v>45770</v>
      </c>
      <c r="C65" s="173">
        <f t="shared" ca="1" si="5"/>
        <v>45770</v>
      </c>
      <c r="D65" s="179">
        <f t="shared" ca="1" si="21"/>
        <v>31</v>
      </c>
      <c r="E65" s="174">
        <f t="shared" si="22"/>
        <v>316666.53333333245</v>
      </c>
      <c r="F65" s="174">
        <f>IF(AND(A64="",A66=""),"",IF(A65="",ROUND(SUM($F$25:F64),2),IF(A65=$D$8,$E$24-ROUND(SUM($F$25:F64),2),ROUND($E$24/$D$8,2))))</f>
        <v>16666.669999999998</v>
      </c>
      <c r="G65" s="174">
        <f ca="1">IF(A64=$D$8,ROUND(SUM($G$25:G64),2),IF(A65&gt;$F$8,"",IF(T65&lt;&gt;T64,ROUND(SUM(V65*$F$9*E64/T65,W65*$F$9*E64/T64),2),ROUND(E64*$F$9*D65/T64,2))))</f>
        <v>5662.1</v>
      </c>
      <c r="H65" s="174">
        <f ca="1">IF(A64=$D$8,SUM($H$25:H64),IF(A64&gt;$D$8,"",F65+G65))</f>
        <v>22328.769999999997</v>
      </c>
      <c r="I65" s="185" t="str">
        <f t="shared" si="23"/>
        <v/>
      </c>
      <c r="J65" s="185" t="str">
        <f t="shared" si="24"/>
        <v/>
      </c>
      <c r="K65" s="185"/>
      <c r="L65" s="185" t="str">
        <f t="shared" si="25"/>
        <v/>
      </c>
      <c r="M65" s="174" t="str">
        <f t="shared" si="19"/>
        <v/>
      </c>
      <c r="N65" s="174" t="str">
        <f t="shared" si="17"/>
        <v/>
      </c>
      <c r="O65" s="174"/>
      <c r="P65" s="181" t="str">
        <f>IF(A64=$D$8,XIRR(R$24:R64,C$24:C64),"")</f>
        <v/>
      </c>
      <c r="Q65" s="185" t="str">
        <f t="shared" si="14"/>
        <v/>
      </c>
      <c r="R65" s="177">
        <f t="shared" ca="1" si="6"/>
        <v>22328.769999999997</v>
      </c>
      <c r="S65" s="178">
        <f t="shared" ca="1" si="7"/>
        <v>2025</v>
      </c>
      <c r="T65" s="178">
        <f t="shared" ca="1" si="8"/>
        <v>365</v>
      </c>
      <c r="U65" s="178">
        <f t="shared" ca="1" si="9"/>
        <v>23</v>
      </c>
      <c r="V65" s="183">
        <f t="shared" ca="1" si="10"/>
        <v>22</v>
      </c>
      <c r="W65" s="184">
        <f t="shared" ca="1" si="11"/>
        <v>9</v>
      </c>
    </row>
    <row r="66" spans="1:23" x14ac:dyDescent="0.25">
      <c r="A66" s="179">
        <f t="shared" si="12"/>
        <v>42</v>
      </c>
      <c r="B66" s="173">
        <f t="shared" ca="1" si="4"/>
        <v>45800</v>
      </c>
      <c r="C66" s="173">
        <f t="shared" ca="1" si="5"/>
        <v>45800</v>
      </c>
      <c r="D66" s="179">
        <f t="shared" ca="1" si="21"/>
        <v>30</v>
      </c>
      <c r="E66" s="174">
        <f t="shared" si="22"/>
        <v>299999.86333333247</v>
      </c>
      <c r="F66" s="174">
        <f>IF(AND(A65="",A67=""),"",IF(A66="",ROUND(SUM($F$25:F65),2),IF(A66=$D$8,$E$24-ROUND(SUM($F$25:F65),2),ROUND($E$24/$D$8,2))))</f>
        <v>16666.669999999998</v>
      </c>
      <c r="G66" s="174">
        <f ca="1">IF(A65=$D$8,ROUND(SUM($G$25:G65),2),IF(A66&gt;$F$8,"",IF(T66&lt;&gt;T65,ROUND(SUM(V66*$F$9*E65/T66,W66*$F$9*E65/T65),2),ROUND(E65*$F$9*D66/T65,2))))</f>
        <v>5205.4799999999996</v>
      </c>
      <c r="H66" s="174">
        <f ca="1">IF(A65=$D$8,SUM($H$25:H65),IF(A65&gt;$D$8,"",F66+G66))</f>
        <v>21872.149999999998</v>
      </c>
      <c r="I66" s="185" t="str">
        <f t="shared" si="23"/>
        <v/>
      </c>
      <c r="J66" s="185" t="str">
        <f t="shared" si="24"/>
        <v/>
      </c>
      <c r="K66" s="185"/>
      <c r="L66" s="185" t="str">
        <f t="shared" si="25"/>
        <v/>
      </c>
      <c r="M66" s="174" t="str">
        <f t="shared" si="19"/>
        <v/>
      </c>
      <c r="N66" s="174" t="str">
        <f t="shared" si="17"/>
        <v/>
      </c>
      <c r="O66" s="174"/>
      <c r="P66" s="181" t="str">
        <f>IF(A65=$D$8,XIRR(R$24:R65,C$24:C65),"")</f>
        <v/>
      </c>
      <c r="Q66" s="185" t="str">
        <f t="shared" si="14"/>
        <v/>
      </c>
      <c r="R66" s="177">
        <f t="shared" ca="1" si="6"/>
        <v>21872.149999999998</v>
      </c>
      <c r="S66" s="178">
        <f t="shared" ca="1" si="7"/>
        <v>2025</v>
      </c>
      <c r="T66" s="178">
        <f t="shared" ca="1" si="8"/>
        <v>365</v>
      </c>
      <c r="U66" s="178">
        <f t="shared" ca="1" si="9"/>
        <v>23</v>
      </c>
      <c r="V66" s="183">
        <f t="shared" ca="1" si="10"/>
        <v>22</v>
      </c>
      <c r="W66" s="184">
        <f t="shared" ca="1" si="11"/>
        <v>8</v>
      </c>
    </row>
    <row r="67" spans="1:23" x14ac:dyDescent="0.25">
      <c r="A67" s="179">
        <f t="shared" si="12"/>
        <v>43</v>
      </c>
      <c r="B67" s="173">
        <f t="shared" ca="1" si="4"/>
        <v>45831</v>
      </c>
      <c r="C67" s="173">
        <f t="shared" ca="1" si="5"/>
        <v>45831</v>
      </c>
      <c r="D67" s="179">
        <f t="shared" ca="1" si="21"/>
        <v>31</v>
      </c>
      <c r="E67" s="174">
        <f t="shared" si="22"/>
        <v>283333.19333333249</v>
      </c>
      <c r="F67" s="174">
        <f>IF(AND(A66="",A68=""),"",IF(A67="",ROUND(SUM($F$25:F66),2),IF(A67=$D$8,$E$24-ROUND(SUM($F$25:F66),2),ROUND($E$24/$D$8,2))))</f>
        <v>16666.669999999998</v>
      </c>
      <c r="G67" s="174">
        <f ca="1">IF(A66=$D$8,ROUND(SUM($G$25:G66),2),IF(A67&gt;$F$8,"",IF(T67&lt;&gt;T66,ROUND(SUM(V67*$F$9*E66/T67,W67*$F$9*E66/T66),2),ROUND(E66*$F$9*D67/T66,2))))</f>
        <v>5095.8900000000003</v>
      </c>
      <c r="H67" s="174">
        <f ca="1">IF(A66=$D$8,SUM($H$25:H66),IF(A66&gt;$D$8,"",F67+G67))</f>
        <v>21762.559999999998</v>
      </c>
      <c r="I67" s="185" t="str">
        <f t="shared" si="23"/>
        <v/>
      </c>
      <c r="J67" s="185" t="str">
        <f t="shared" si="24"/>
        <v/>
      </c>
      <c r="K67" s="185"/>
      <c r="L67" s="185" t="str">
        <f t="shared" si="25"/>
        <v/>
      </c>
      <c r="M67" s="174" t="str">
        <f t="shared" si="19"/>
        <v/>
      </c>
      <c r="N67" s="174" t="str">
        <f t="shared" si="17"/>
        <v/>
      </c>
      <c r="O67" s="174"/>
      <c r="P67" s="181" t="str">
        <f>IF(A66=$D$8,XIRR(R$24:R66,C$24:C66),"")</f>
        <v/>
      </c>
      <c r="Q67" s="185" t="str">
        <f t="shared" si="14"/>
        <v/>
      </c>
      <c r="R67" s="177">
        <f t="shared" ca="1" si="6"/>
        <v>21762.559999999998</v>
      </c>
      <c r="S67" s="178">
        <f t="shared" ca="1" si="7"/>
        <v>2025</v>
      </c>
      <c r="T67" s="178">
        <f t="shared" ca="1" si="8"/>
        <v>365</v>
      </c>
      <c r="U67" s="178">
        <f t="shared" ca="1" si="9"/>
        <v>23</v>
      </c>
      <c r="V67" s="183">
        <f t="shared" ca="1" si="10"/>
        <v>22</v>
      </c>
      <c r="W67" s="184">
        <f t="shared" ca="1" si="11"/>
        <v>9</v>
      </c>
    </row>
    <row r="68" spans="1:23" x14ac:dyDescent="0.25">
      <c r="A68" s="179">
        <f t="shared" si="12"/>
        <v>44</v>
      </c>
      <c r="B68" s="173">
        <f t="shared" ca="1" si="4"/>
        <v>45861</v>
      </c>
      <c r="C68" s="173">
        <f t="shared" ca="1" si="5"/>
        <v>45861</v>
      </c>
      <c r="D68" s="179">
        <f t="shared" ca="1" si="21"/>
        <v>30</v>
      </c>
      <c r="E68" s="174">
        <f t="shared" si="22"/>
        <v>266666.5233333325</v>
      </c>
      <c r="F68" s="174">
        <f>IF(AND(A67="",A69=""),"",IF(A68="",ROUND(SUM($F$25:F67),2),IF(A68=$D$8,$E$24-ROUND(SUM($F$25:F67),2),ROUND($E$24/$D$8,2))))</f>
        <v>16666.669999999998</v>
      </c>
      <c r="G68" s="174">
        <f ca="1">IF(A67=$D$8,ROUND(SUM($G$25:G67),2),IF(A68&gt;$F$8,"",IF(T68&lt;&gt;T67,ROUND(SUM(V68*$F$9*E67/T68,W68*$F$9*E67/T67),2),ROUND(E67*$F$9*D68/T67,2))))</f>
        <v>4657.53</v>
      </c>
      <c r="H68" s="174">
        <f ca="1">IF(A67=$D$8,SUM($H$25:H67),IF(A67&gt;$D$8,"",F68+G68))</f>
        <v>21324.199999999997</v>
      </c>
      <c r="I68" s="185" t="str">
        <f t="shared" si="23"/>
        <v/>
      </c>
      <c r="J68" s="185" t="str">
        <f t="shared" si="24"/>
        <v/>
      </c>
      <c r="K68" s="185"/>
      <c r="L68" s="185" t="str">
        <f t="shared" si="25"/>
        <v/>
      </c>
      <c r="M68" s="174" t="str">
        <f t="shared" si="19"/>
        <v/>
      </c>
      <c r="N68" s="174" t="str">
        <f t="shared" si="17"/>
        <v/>
      </c>
      <c r="O68" s="174"/>
      <c r="P68" s="181" t="str">
        <f>IF(A67=$D$8,XIRR(R$24:R67,C$24:C67),"")</f>
        <v/>
      </c>
      <c r="Q68" s="185" t="str">
        <f t="shared" si="14"/>
        <v/>
      </c>
      <c r="R68" s="177">
        <f t="shared" ca="1" si="6"/>
        <v>21324.199999999997</v>
      </c>
      <c r="S68" s="178">
        <f t="shared" ca="1" si="7"/>
        <v>2025</v>
      </c>
      <c r="T68" s="178">
        <f t="shared" ca="1" si="8"/>
        <v>365</v>
      </c>
      <c r="U68" s="178">
        <f t="shared" ca="1" si="9"/>
        <v>23</v>
      </c>
      <c r="V68" s="183">
        <f t="shared" ca="1" si="10"/>
        <v>22</v>
      </c>
      <c r="W68" s="184">
        <f t="shared" ca="1" si="11"/>
        <v>8</v>
      </c>
    </row>
    <row r="69" spans="1:23" x14ac:dyDescent="0.25">
      <c r="A69" s="179">
        <f t="shared" si="12"/>
        <v>45</v>
      </c>
      <c r="B69" s="173">
        <f t="shared" ca="1" si="4"/>
        <v>45892</v>
      </c>
      <c r="C69" s="173">
        <f t="shared" ca="1" si="5"/>
        <v>45892</v>
      </c>
      <c r="D69" s="179">
        <f t="shared" ca="1" si="21"/>
        <v>31</v>
      </c>
      <c r="E69" s="174">
        <f t="shared" si="22"/>
        <v>249999.85333333252</v>
      </c>
      <c r="F69" s="174">
        <f>IF(AND(A68="",A70=""),"",IF(A69="",ROUND(SUM($F$25:F68),2),IF(A69=$D$8,$E$24-ROUND(SUM($F$25:F68),2),ROUND($E$24/$D$8,2))))</f>
        <v>16666.669999999998</v>
      </c>
      <c r="G69" s="174">
        <f ca="1">IF(A68=$D$8,ROUND(SUM($G$25:G68),2),IF(A69&gt;$F$8,"",IF(T69&lt;&gt;T68,ROUND(SUM(V69*$F$9*E68/T69,W69*$F$9*E68/T68),2),ROUND(E68*$F$9*D69/T68,2))))</f>
        <v>4529.68</v>
      </c>
      <c r="H69" s="174">
        <f ca="1">IF(A68=$D$8,SUM($H$25:H68),IF(A68&gt;$D$8,"",F69+G69))</f>
        <v>21196.35</v>
      </c>
      <c r="I69" s="185" t="str">
        <f t="shared" si="23"/>
        <v/>
      </c>
      <c r="J69" s="185" t="str">
        <f t="shared" si="24"/>
        <v/>
      </c>
      <c r="K69" s="185"/>
      <c r="L69" s="185" t="str">
        <f t="shared" si="25"/>
        <v/>
      </c>
      <c r="M69" s="174" t="str">
        <f t="shared" si="19"/>
        <v/>
      </c>
      <c r="N69" s="174" t="str">
        <f t="shared" si="17"/>
        <v/>
      </c>
      <c r="O69" s="174"/>
      <c r="P69" s="181" t="str">
        <f>IF(A68=$D$8,XIRR(R$24:R68,C$24:C68),"")</f>
        <v/>
      </c>
      <c r="Q69" s="185" t="str">
        <f t="shared" si="14"/>
        <v/>
      </c>
      <c r="R69" s="177">
        <f t="shared" ca="1" si="6"/>
        <v>21196.35</v>
      </c>
      <c r="S69" s="178">
        <f t="shared" ca="1" si="7"/>
        <v>2025</v>
      </c>
      <c r="T69" s="178">
        <f t="shared" ca="1" si="8"/>
        <v>365</v>
      </c>
      <c r="U69" s="178">
        <f t="shared" ca="1" si="9"/>
        <v>23</v>
      </c>
      <c r="V69" s="183">
        <f t="shared" ca="1" si="10"/>
        <v>22</v>
      </c>
      <c r="W69" s="184">
        <f t="shared" ca="1" si="11"/>
        <v>9</v>
      </c>
    </row>
    <row r="70" spans="1:23" x14ac:dyDescent="0.25">
      <c r="A70" s="179">
        <f t="shared" si="12"/>
        <v>46</v>
      </c>
      <c r="B70" s="173">
        <f t="shared" ca="1" si="4"/>
        <v>45923</v>
      </c>
      <c r="C70" s="173">
        <f t="shared" ca="1" si="5"/>
        <v>45923</v>
      </c>
      <c r="D70" s="179">
        <f t="shared" ca="1" si="21"/>
        <v>31</v>
      </c>
      <c r="E70" s="174">
        <f t="shared" si="22"/>
        <v>233333.18333333253</v>
      </c>
      <c r="F70" s="174">
        <f>IF(AND(A69="",A71=""),"",IF(A70="",ROUND(SUM($F$25:F69),2),IF(A70=$D$8,$E$24-ROUND(SUM($F$25:F69),2),ROUND($E$24/$D$8,2))))</f>
        <v>16666.669999999998</v>
      </c>
      <c r="G70" s="174">
        <f ca="1">IF(A69=$D$8,ROUND(SUM($G$25:G69),2),IF(A70&gt;$F$8,"",IF(T70&lt;&gt;T69,ROUND(SUM(V70*$F$9*E69/T70,W70*$F$9*E69/T69),2),ROUND(E69*$F$9*D70/T69,2))))</f>
        <v>4246.57</v>
      </c>
      <c r="H70" s="174">
        <f ca="1">IF(A69=$D$8,SUM($H$25:H69),IF(A69&gt;$D$8,"",F70+G70))</f>
        <v>20913.239999999998</v>
      </c>
      <c r="I70" s="185" t="str">
        <f t="shared" si="23"/>
        <v/>
      </c>
      <c r="J70" s="185" t="str">
        <f t="shared" si="24"/>
        <v/>
      </c>
      <c r="K70" s="185"/>
      <c r="L70" s="185" t="str">
        <f t="shared" si="25"/>
        <v/>
      </c>
      <c r="M70" s="174" t="str">
        <f t="shared" si="19"/>
        <v/>
      </c>
      <c r="N70" s="174" t="str">
        <f t="shared" si="17"/>
        <v/>
      </c>
      <c r="O70" s="174"/>
      <c r="P70" s="181" t="str">
        <f>IF(A69=$D$8,XIRR(R$24:R69,C$24:C69),"")</f>
        <v/>
      </c>
      <c r="Q70" s="185" t="str">
        <f t="shared" si="14"/>
        <v/>
      </c>
      <c r="R70" s="177">
        <f t="shared" ca="1" si="6"/>
        <v>20913.239999999998</v>
      </c>
      <c r="S70" s="178">
        <f t="shared" ca="1" si="7"/>
        <v>2025</v>
      </c>
      <c r="T70" s="178">
        <f t="shared" ca="1" si="8"/>
        <v>365</v>
      </c>
      <c r="U70" s="178">
        <f t="shared" ca="1" si="9"/>
        <v>23</v>
      </c>
      <c r="V70" s="183">
        <f t="shared" ca="1" si="10"/>
        <v>22</v>
      </c>
      <c r="W70" s="184">
        <f t="shared" ca="1" si="11"/>
        <v>9</v>
      </c>
    </row>
    <row r="71" spans="1:23" x14ac:dyDescent="0.25">
      <c r="A71" s="179">
        <f t="shared" si="12"/>
        <v>47</v>
      </c>
      <c r="B71" s="173">
        <f t="shared" ca="1" si="4"/>
        <v>45953</v>
      </c>
      <c r="C71" s="173">
        <f t="shared" ca="1" si="5"/>
        <v>45953</v>
      </c>
      <c r="D71" s="179">
        <f t="shared" ca="1" si="21"/>
        <v>30</v>
      </c>
      <c r="E71" s="174">
        <f t="shared" si="22"/>
        <v>216666.51333333255</v>
      </c>
      <c r="F71" s="174">
        <f>IF(AND(A70="",A72=""),"",IF(A71="",ROUND(SUM($F$25:F70),2),IF(A71=$D$8,$E$24-ROUND(SUM($F$25:F70),2),ROUND($E$24/$D$8,2))))</f>
        <v>16666.669999999998</v>
      </c>
      <c r="G71" s="174">
        <f ca="1">IF(A70=$D$8,ROUND(SUM($G$25:G70),2),IF(A71&gt;$F$8,"",IF(T71&lt;&gt;T70,ROUND(SUM(V71*$F$9*E70/T71,W71*$F$9*E70/T70),2),ROUND(E70*$F$9*D71/T70,2))))</f>
        <v>3835.61</v>
      </c>
      <c r="H71" s="174">
        <f ca="1">IF(A70=$D$8,SUM($H$25:H70),IF(A70&gt;$D$8,"",F71+G71))</f>
        <v>20502.28</v>
      </c>
      <c r="I71" s="185" t="str">
        <f t="shared" si="23"/>
        <v/>
      </c>
      <c r="J71" s="185" t="str">
        <f t="shared" si="24"/>
        <v/>
      </c>
      <c r="K71" s="185"/>
      <c r="L71" s="185" t="str">
        <f t="shared" si="25"/>
        <v/>
      </c>
      <c r="M71" s="174" t="str">
        <f t="shared" si="19"/>
        <v/>
      </c>
      <c r="N71" s="174" t="str">
        <f t="shared" si="17"/>
        <v/>
      </c>
      <c r="O71" s="174"/>
      <c r="P71" s="181" t="str">
        <f>IF(A70=$D$8,XIRR(R$24:R70,C$24:C70),"")</f>
        <v/>
      </c>
      <c r="Q71" s="185" t="str">
        <f t="shared" si="14"/>
        <v/>
      </c>
      <c r="R71" s="177">
        <f t="shared" ca="1" si="6"/>
        <v>20502.28</v>
      </c>
      <c r="S71" s="178">
        <f t="shared" ca="1" si="7"/>
        <v>2025</v>
      </c>
      <c r="T71" s="178">
        <f t="shared" ca="1" si="8"/>
        <v>365</v>
      </c>
      <c r="U71" s="178">
        <f t="shared" ca="1" si="9"/>
        <v>23</v>
      </c>
      <c r="V71" s="183">
        <f t="shared" ca="1" si="10"/>
        <v>22</v>
      </c>
      <c r="W71" s="184">
        <f t="shared" ca="1" si="11"/>
        <v>8</v>
      </c>
    </row>
    <row r="72" spans="1:23" x14ac:dyDescent="0.25">
      <c r="A72" s="179">
        <f t="shared" si="12"/>
        <v>48</v>
      </c>
      <c r="B72" s="173">
        <f t="shared" ca="1" si="4"/>
        <v>45984</v>
      </c>
      <c r="C72" s="173">
        <f t="shared" ca="1" si="5"/>
        <v>45984</v>
      </c>
      <c r="D72" s="179">
        <f t="shared" ca="1" si="21"/>
        <v>31</v>
      </c>
      <c r="E72" s="174">
        <f t="shared" si="22"/>
        <v>199999.84333333257</v>
      </c>
      <c r="F72" s="174">
        <f>IF(AND(A71="",A73=""),"",IF(A72="",ROUND(SUM($F$25:F71),2),IF(A72=$D$8,$E$24-ROUND(SUM($F$25:F71),2),ROUND($E$24/$D$8,2))))</f>
        <v>16666.669999999998</v>
      </c>
      <c r="G72" s="174">
        <f ca="1">IF(A71=$D$8,ROUND(SUM($G$25:G71),2),IF(A72&gt;$F$8,"",IF(T72&lt;&gt;T71,ROUND(SUM(V72*$F$9*E71/T72,W72*$F$9*E71/T71),2),ROUND(E71*$F$9*D72/T71,2))))</f>
        <v>3680.36</v>
      </c>
      <c r="H72" s="174">
        <f ca="1">IF(A71=$D$8,SUM($H$25:H71),IF(A71&gt;$D$8,"",F72+G72))</f>
        <v>20347.03</v>
      </c>
      <c r="I72" s="185" t="str">
        <f t="shared" si="23"/>
        <v/>
      </c>
      <c r="J72" s="185" t="str">
        <f t="shared" si="24"/>
        <v/>
      </c>
      <c r="K72" s="185"/>
      <c r="L72" s="185" t="str">
        <f t="shared" si="25"/>
        <v/>
      </c>
      <c r="M72" s="174" t="str">
        <f t="shared" si="19"/>
        <v/>
      </c>
      <c r="N72" s="174" t="str">
        <f t="shared" si="17"/>
        <v/>
      </c>
      <c r="O72" s="174"/>
      <c r="P72" s="181" t="str">
        <f>IF(A71=$D$8,XIRR(R$24:R71,C$24:C71),"")</f>
        <v/>
      </c>
      <c r="Q72" s="185" t="str">
        <f t="shared" si="14"/>
        <v/>
      </c>
      <c r="R72" s="177">
        <f t="shared" ca="1" si="6"/>
        <v>20347.03</v>
      </c>
      <c r="S72" s="178">
        <f t="shared" ca="1" si="7"/>
        <v>2025</v>
      </c>
      <c r="T72" s="178">
        <f t="shared" ca="1" si="8"/>
        <v>365</v>
      </c>
      <c r="U72" s="178">
        <f t="shared" ca="1" si="9"/>
        <v>23</v>
      </c>
      <c r="V72" s="183">
        <f t="shared" ca="1" si="10"/>
        <v>22</v>
      </c>
      <c r="W72" s="184">
        <f t="shared" ca="1" si="11"/>
        <v>9</v>
      </c>
    </row>
    <row r="73" spans="1:23" x14ac:dyDescent="0.25">
      <c r="A73" s="179">
        <f t="shared" si="12"/>
        <v>49</v>
      </c>
      <c r="B73" s="173">
        <f t="shared" ca="1" si="4"/>
        <v>46014</v>
      </c>
      <c r="C73" s="173">
        <f t="shared" ca="1" si="5"/>
        <v>46014</v>
      </c>
      <c r="D73" s="179">
        <f t="shared" ca="1" si="21"/>
        <v>30</v>
      </c>
      <c r="E73" s="174">
        <f t="shared" si="22"/>
        <v>183333.17333333258</v>
      </c>
      <c r="F73" s="174">
        <f>IF(AND(A72="",A74=""),"",IF(A73="",ROUND(SUM($F$25:F72),2),IF(A73=$D$8,$E$24-ROUND(SUM($F$25:F72),2),ROUND($E$24/$D$8,2))))</f>
        <v>16666.669999999998</v>
      </c>
      <c r="G73" s="174">
        <f ca="1">IF(A72=$D$8,ROUND(SUM($G$25:G72),2),IF(A73&gt;$F$8,"",IF(T73&lt;&gt;T72,ROUND(SUM(V73*$F$9*E72/T73,W73*$F$9*E72/T72),2),ROUND(E72*$F$9*D73/T72,2))))</f>
        <v>3287.67</v>
      </c>
      <c r="H73" s="174">
        <f ca="1">IF(A72=$D$8,SUM($H$25:H72),IF(A72&gt;$D$8,"",F73+G73))</f>
        <v>19954.339999999997</v>
      </c>
      <c r="I73" s="185" t="str">
        <f t="shared" si="23"/>
        <v/>
      </c>
      <c r="J73" s="185" t="str">
        <f t="shared" si="24"/>
        <v/>
      </c>
      <c r="K73" s="185">
        <f>IF($F$8&gt;48,($O$8+$O$10),IF($A$72=$F$8,$K$37+$K$24+$K$49+$K$61,""))</f>
        <v>7250</v>
      </c>
      <c r="L73" s="185" t="str">
        <f t="shared" si="25"/>
        <v/>
      </c>
      <c r="M73" s="174" t="str">
        <f t="shared" si="19"/>
        <v/>
      </c>
      <c r="N73" s="185">
        <f>IF($F$8&gt;48,($N$14),IF(A72=$F$8,N61+N49+N37+N24,""))</f>
        <v>0</v>
      </c>
      <c r="O73" s="174"/>
      <c r="P73" s="181" t="str">
        <f>IF(A72=$D$8,XIRR(R$24:R72,C$24:C72),"")</f>
        <v/>
      </c>
      <c r="Q73" s="185" t="str">
        <f t="shared" si="14"/>
        <v/>
      </c>
      <c r="R73" s="177">
        <f t="shared" ca="1" si="6"/>
        <v>27204.339999999997</v>
      </c>
      <c r="S73" s="178">
        <f t="shared" ca="1" si="7"/>
        <v>2025</v>
      </c>
      <c r="T73" s="178">
        <f t="shared" ca="1" si="8"/>
        <v>365</v>
      </c>
      <c r="U73" s="178">
        <f t="shared" ca="1" si="9"/>
        <v>23</v>
      </c>
      <c r="V73" s="183">
        <f t="shared" ca="1" si="10"/>
        <v>22</v>
      </c>
      <c r="W73" s="184">
        <f t="shared" ca="1" si="11"/>
        <v>8</v>
      </c>
    </row>
    <row r="74" spans="1:23" x14ac:dyDescent="0.25">
      <c r="A74" s="179">
        <f t="shared" si="12"/>
        <v>50</v>
      </c>
      <c r="B74" s="173">
        <f t="shared" ca="1" si="4"/>
        <v>46045</v>
      </c>
      <c r="C74" s="173">
        <f t="shared" ca="1" si="5"/>
        <v>46045</v>
      </c>
      <c r="D74" s="179">
        <f t="shared" ca="1" si="21"/>
        <v>31</v>
      </c>
      <c r="E74" s="174">
        <f t="shared" si="22"/>
        <v>166666.5033333326</v>
      </c>
      <c r="F74" s="174">
        <f>IF(AND(A73="",A75=""),"",IF(A74="",ROUND(SUM($F$25:F73),2),IF(A74=$D$8,$E$24-ROUND(SUM($F$25:F73),2),ROUND($E$24/$D$8,2))))</f>
        <v>16666.669999999998</v>
      </c>
      <c r="G74" s="174">
        <f ca="1">IF(A73=$D$8,ROUND(SUM($G$25:G73),2),IF(A74&gt;$F$8,"",IF(T74&lt;&gt;T73,ROUND(SUM(V74*$F$9*E73/T74,W74*$F$9*E73/T73),2),ROUND(E73*$F$9*D74/T73,2))))</f>
        <v>3114.15</v>
      </c>
      <c r="H74" s="174">
        <f ca="1">IF(A73=$D$8,SUM($H$25:H73),IF(A73&gt;$D$8,"",F74+G74))</f>
        <v>19780.82</v>
      </c>
      <c r="I74" s="185" t="str">
        <f t="shared" si="23"/>
        <v/>
      </c>
      <c r="J74" s="185" t="str">
        <f t="shared" si="24"/>
        <v/>
      </c>
      <c r="K74" s="185"/>
      <c r="L74" s="185" t="str">
        <f t="shared" si="25"/>
        <v/>
      </c>
      <c r="M74" s="174" t="str">
        <f t="shared" si="19"/>
        <v/>
      </c>
      <c r="N74" s="174" t="str">
        <f t="shared" si="17"/>
        <v/>
      </c>
      <c r="O74" s="174"/>
      <c r="P74" s="181" t="str">
        <f>IF(A73=$D$8,XIRR(R$24:R73,C$24:C73),"")</f>
        <v/>
      </c>
      <c r="Q74" s="185" t="str">
        <f t="shared" si="14"/>
        <v/>
      </c>
      <c r="R74" s="177">
        <f t="shared" ca="1" si="6"/>
        <v>19780.82</v>
      </c>
      <c r="S74" s="178">
        <f t="shared" ca="1" si="7"/>
        <v>2026</v>
      </c>
      <c r="T74" s="178">
        <f t="shared" ca="1" si="8"/>
        <v>365</v>
      </c>
      <c r="U74" s="178">
        <f t="shared" ca="1" si="9"/>
        <v>23</v>
      </c>
      <c r="V74" s="183">
        <f t="shared" ca="1" si="10"/>
        <v>22</v>
      </c>
      <c r="W74" s="184">
        <f t="shared" ca="1" si="11"/>
        <v>9</v>
      </c>
    </row>
    <row r="75" spans="1:23" x14ac:dyDescent="0.25">
      <c r="A75" s="179">
        <f t="shared" si="12"/>
        <v>51</v>
      </c>
      <c r="B75" s="173">
        <f t="shared" ca="1" si="4"/>
        <v>46076</v>
      </c>
      <c r="C75" s="173">
        <f t="shared" ca="1" si="5"/>
        <v>46076</v>
      </c>
      <c r="D75" s="179">
        <f t="shared" ca="1" si="21"/>
        <v>31</v>
      </c>
      <c r="E75" s="174">
        <f t="shared" si="22"/>
        <v>149999.83333333262</v>
      </c>
      <c r="F75" s="174">
        <f>IF(AND(A74="",A76=""),"",IF(A75="",ROUND(SUM($F$25:F74),2),IF(A75=$D$8,$E$24-ROUND(SUM($F$25:F74),2),ROUND($E$24/$D$8,2))))</f>
        <v>16666.669999999998</v>
      </c>
      <c r="G75" s="174">
        <f ca="1">IF(A74=$D$8,ROUND(SUM($G$25:G74),2),IF(A75&gt;$F$8,"",IF(T75&lt;&gt;T74,ROUND(SUM(V75*$F$9*E74/T75,W75*$F$9*E74/T74),2),ROUND(E74*$F$9*D75/T74,2))))</f>
        <v>2831.05</v>
      </c>
      <c r="H75" s="174">
        <f ca="1">IF(A74=$D$8,SUM($H$25:H74),IF(A74&gt;$D$8,"",F75+G75))</f>
        <v>19497.719999999998</v>
      </c>
      <c r="I75" s="185" t="str">
        <f t="shared" si="23"/>
        <v/>
      </c>
      <c r="J75" s="185" t="str">
        <f t="shared" si="24"/>
        <v/>
      </c>
      <c r="K75" s="185"/>
      <c r="L75" s="185" t="str">
        <f t="shared" si="25"/>
        <v/>
      </c>
      <c r="M75" s="174" t="str">
        <f t="shared" si="19"/>
        <v/>
      </c>
      <c r="N75" s="174" t="str">
        <f t="shared" si="17"/>
        <v/>
      </c>
      <c r="O75" s="174"/>
      <c r="P75" s="181" t="str">
        <f>IF(A74=$D$8,XIRR(R$24:R74,C$24:C74),"")</f>
        <v/>
      </c>
      <c r="Q75" s="185" t="str">
        <f t="shared" si="14"/>
        <v/>
      </c>
      <c r="R75" s="177">
        <f t="shared" ca="1" si="6"/>
        <v>19497.719999999998</v>
      </c>
      <c r="S75" s="178">
        <f t="shared" ca="1" si="7"/>
        <v>2026</v>
      </c>
      <c r="T75" s="178">
        <f t="shared" ca="1" si="8"/>
        <v>365</v>
      </c>
      <c r="U75" s="178">
        <f t="shared" ca="1" si="9"/>
        <v>23</v>
      </c>
      <c r="V75" s="183">
        <f t="shared" ca="1" si="10"/>
        <v>22</v>
      </c>
      <c r="W75" s="184">
        <f t="shared" ca="1" si="11"/>
        <v>9</v>
      </c>
    </row>
    <row r="76" spans="1:23" x14ac:dyDescent="0.25">
      <c r="A76" s="179">
        <f t="shared" si="12"/>
        <v>52</v>
      </c>
      <c r="B76" s="173">
        <f t="shared" ca="1" si="4"/>
        <v>46104</v>
      </c>
      <c r="C76" s="173">
        <f t="shared" ca="1" si="5"/>
        <v>46104</v>
      </c>
      <c r="D76" s="179">
        <f t="shared" ca="1" si="21"/>
        <v>28</v>
      </c>
      <c r="E76" s="174">
        <f t="shared" si="22"/>
        <v>133333.16333333263</v>
      </c>
      <c r="F76" s="174">
        <f>IF(AND(A75="",A77=""),"",IF(A76="",ROUND(SUM($F$25:F75),2),IF(A76=$D$8,$E$24-ROUND(SUM($F$25:F75),2),ROUND($E$24/$D$8,2))))</f>
        <v>16666.669999999998</v>
      </c>
      <c r="G76" s="174">
        <f ca="1">IF(A75=$D$8,ROUND(SUM($G$25:G75),2),IF(A76&gt;$F$8,"",IF(T76&lt;&gt;T75,ROUND(SUM(V76*$F$9*E75/T76,W76*$F$9*E75/T75),2),ROUND(E75*$F$9*D76/T75,2))))</f>
        <v>2301.37</v>
      </c>
      <c r="H76" s="174">
        <f ca="1">IF(A75=$D$8,SUM($H$25:H75),IF(A75&gt;$D$8,"",F76+G76))</f>
        <v>18968.039999999997</v>
      </c>
      <c r="I76" s="185" t="str">
        <f t="shared" si="23"/>
        <v/>
      </c>
      <c r="J76" s="185" t="str">
        <f t="shared" si="24"/>
        <v/>
      </c>
      <c r="K76" s="185"/>
      <c r="L76" s="185" t="str">
        <f t="shared" si="25"/>
        <v/>
      </c>
      <c r="M76" s="174" t="str">
        <f t="shared" si="19"/>
        <v/>
      </c>
      <c r="N76" s="174" t="str">
        <f t="shared" si="17"/>
        <v/>
      </c>
      <c r="O76" s="174"/>
      <c r="P76" s="181" t="str">
        <f>IF(A75=$D$8,XIRR(R$24:R75,C$24:C75),"")</f>
        <v/>
      </c>
      <c r="Q76" s="185" t="str">
        <f t="shared" si="14"/>
        <v/>
      </c>
      <c r="R76" s="177">
        <f t="shared" ca="1" si="6"/>
        <v>18968.039999999997</v>
      </c>
      <c r="S76" s="178">
        <f t="shared" ca="1" si="7"/>
        <v>2026</v>
      </c>
      <c r="T76" s="178">
        <f t="shared" ca="1" si="8"/>
        <v>365</v>
      </c>
      <c r="U76" s="178">
        <f t="shared" ca="1" si="9"/>
        <v>23</v>
      </c>
      <c r="V76" s="183">
        <f t="shared" ca="1" si="10"/>
        <v>22</v>
      </c>
      <c r="W76" s="184">
        <f t="shared" ca="1" si="11"/>
        <v>6</v>
      </c>
    </row>
    <row r="77" spans="1:23" x14ac:dyDescent="0.25">
      <c r="A77" s="179">
        <f t="shared" si="12"/>
        <v>53</v>
      </c>
      <c r="B77" s="173">
        <f t="shared" ca="1" si="4"/>
        <v>46135</v>
      </c>
      <c r="C77" s="173">
        <f t="shared" ca="1" si="5"/>
        <v>46135</v>
      </c>
      <c r="D77" s="179">
        <f t="shared" ca="1" si="21"/>
        <v>31</v>
      </c>
      <c r="E77" s="174">
        <f t="shared" si="22"/>
        <v>116666.49333333263</v>
      </c>
      <c r="F77" s="174">
        <f>IF(AND(A76="",A78=""),"",IF(A77="",ROUND(SUM($F$25:F76),2),IF(A77=$D$8,$E$24-ROUND(SUM($F$25:F76),2),ROUND($E$24/$D$8,2))))</f>
        <v>16666.669999999998</v>
      </c>
      <c r="G77" s="174">
        <f ca="1">IF(A76=$D$8,ROUND(SUM($G$25:G76),2),IF(A77&gt;$F$8,"",IF(T77&lt;&gt;T76,ROUND(SUM(V77*$F$9*E76/T77,W77*$F$9*E76/T76),2),ROUND(E76*$F$9*D77/T76,2))))</f>
        <v>2264.84</v>
      </c>
      <c r="H77" s="174">
        <f ca="1">IF(A76=$D$8,SUM($H$25:H76),IF(A76&gt;$D$8,"",F77+G77))</f>
        <v>18931.509999999998</v>
      </c>
      <c r="I77" s="185" t="str">
        <f t="shared" si="23"/>
        <v/>
      </c>
      <c r="J77" s="185" t="str">
        <f t="shared" si="24"/>
        <v/>
      </c>
      <c r="K77" s="185"/>
      <c r="L77" s="185" t="str">
        <f t="shared" si="25"/>
        <v/>
      </c>
      <c r="M77" s="174" t="str">
        <f t="shared" si="19"/>
        <v/>
      </c>
      <c r="N77" s="174" t="str">
        <f t="shared" si="17"/>
        <v/>
      </c>
      <c r="O77" s="174"/>
      <c r="P77" s="181" t="str">
        <f>IF(A76=$D$8,XIRR(R$24:R76,C$24:C76),"")</f>
        <v/>
      </c>
      <c r="Q77" s="185" t="str">
        <f t="shared" si="14"/>
        <v/>
      </c>
      <c r="R77" s="177">
        <f t="shared" ca="1" si="6"/>
        <v>18931.509999999998</v>
      </c>
      <c r="S77" s="178">
        <f t="shared" ca="1" si="7"/>
        <v>2026</v>
      </c>
      <c r="T77" s="178">
        <f t="shared" ca="1" si="8"/>
        <v>365</v>
      </c>
      <c r="U77" s="178">
        <f t="shared" ca="1" si="9"/>
        <v>23</v>
      </c>
      <c r="V77" s="183">
        <f t="shared" ca="1" si="10"/>
        <v>22</v>
      </c>
      <c r="W77" s="184">
        <f t="shared" ca="1" si="11"/>
        <v>9</v>
      </c>
    </row>
    <row r="78" spans="1:23" x14ac:dyDescent="0.25">
      <c r="A78" s="179">
        <f t="shared" si="12"/>
        <v>54</v>
      </c>
      <c r="B78" s="173">
        <f t="shared" ca="1" si="4"/>
        <v>46165</v>
      </c>
      <c r="C78" s="173">
        <f t="shared" ca="1" si="5"/>
        <v>46165</v>
      </c>
      <c r="D78" s="179">
        <f t="shared" ca="1" si="21"/>
        <v>30</v>
      </c>
      <c r="E78" s="174">
        <f t="shared" si="22"/>
        <v>99999.823333332635</v>
      </c>
      <c r="F78" s="174">
        <f>IF(AND(A77="",A79=""),"",IF(A78="",ROUND(SUM($F$25:F77),2),IF(A78=$D$8,$E$24-ROUND(SUM($F$25:F77),2),ROUND($E$24/$D$8,2))))</f>
        <v>16666.669999999998</v>
      </c>
      <c r="G78" s="174">
        <f ca="1">IF(A77=$D$8,ROUND(SUM($G$25:G77),2),IF(A78&gt;$F$8,"",IF(T78&lt;&gt;T77,ROUND(SUM(V78*$F$9*E77/T78,W78*$F$9*E77/T77),2),ROUND(E77*$F$9*D78/T77,2))))</f>
        <v>1917.81</v>
      </c>
      <c r="H78" s="174">
        <f ca="1">IF(A77=$D$8,SUM($H$25:H77),IF(A77&gt;$D$8,"",F78+G78))</f>
        <v>18584.48</v>
      </c>
      <c r="I78" s="185" t="str">
        <f t="shared" si="23"/>
        <v/>
      </c>
      <c r="J78" s="185" t="str">
        <f t="shared" si="24"/>
        <v/>
      </c>
      <c r="K78" s="185"/>
      <c r="L78" s="185" t="str">
        <f t="shared" si="25"/>
        <v/>
      </c>
      <c r="M78" s="174" t="str">
        <f t="shared" si="19"/>
        <v/>
      </c>
      <c r="N78" s="174" t="str">
        <f t="shared" si="17"/>
        <v/>
      </c>
      <c r="O78" s="174"/>
      <c r="P78" s="181" t="str">
        <f>IF(A77=$D$8,XIRR(R$24:R77,C$24:C77),"")</f>
        <v/>
      </c>
      <c r="Q78" s="185" t="str">
        <f t="shared" si="14"/>
        <v/>
      </c>
      <c r="R78" s="177">
        <f t="shared" ca="1" si="6"/>
        <v>18584.48</v>
      </c>
      <c r="S78" s="178">
        <f t="shared" ca="1" si="7"/>
        <v>2026</v>
      </c>
      <c r="T78" s="178">
        <f t="shared" ca="1" si="8"/>
        <v>365</v>
      </c>
      <c r="U78" s="178">
        <f t="shared" ca="1" si="9"/>
        <v>23</v>
      </c>
      <c r="V78" s="183">
        <f t="shared" ca="1" si="10"/>
        <v>22</v>
      </c>
      <c r="W78" s="184">
        <f t="shared" ca="1" si="11"/>
        <v>8</v>
      </c>
    </row>
    <row r="79" spans="1:23" x14ac:dyDescent="0.25">
      <c r="A79" s="179">
        <f t="shared" si="12"/>
        <v>55</v>
      </c>
      <c r="B79" s="173">
        <f t="shared" ca="1" si="4"/>
        <v>46196</v>
      </c>
      <c r="C79" s="173">
        <f t="shared" ca="1" si="5"/>
        <v>46196</v>
      </c>
      <c r="D79" s="179">
        <f t="shared" ca="1" si="21"/>
        <v>31</v>
      </c>
      <c r="E79" s="174">
        <f t="shared" si="22"/>
        <v>83333.153333332637</v>
      </c>
      <c r="F79" s="174">
        <f>IF(AND(A78="",A80=""),"",IF(A79="",ROUND(SUM($F$25:F78),2),IF(A79=$D$8,$E$24-ROUND(SUM($F$25:F78),2),ROUND($E$24/$D$8,2))))</f>
        <v>16666.669999999998</v>
      </c>
      <c r="G79" s="174">
        <f ca="1">IF(A78=$D$8,ROUND(SUM($G$25:G78),2),IF(A79&gt;$F$8,"",IF(T79&lt;&gt;T78,ROUND(SUM(V79*$F$9*E78/T79,W79*$F$9*E78/T78),2),ROUND(E78*$F$9*D79/T78,2))))</f>
        <v>1698.63</v>
      </c>
      <c r="H79" s="174">
        <f ca="1">IF(A78=$D$8,SUM($H$25:H78),IF(A78&gt;$D$8,"",F79+G79))</f>
        <v>18365.3</v>
      </c>
      <c r="I79" s="185" t="str">
        <f t="shared" si="23"/>
        <v/>
      </c>
      <c r="J79" s="185" t="str">
        <f t="shared" si="24"/>
        <v/>
      </c>
      <c r="K79" s="185"/>
      <c r="L79" s="185" t="str">
        <f t="shared" si="25"/>
        <v/>
      </c>
      <c r="M79" s="174" t="str">
        <f t="shared" si="19"/>
        <v/>
      </c>
      <c r="N79" s="174" t="str">
        <f t="shared" si="17"/>
        <v/>
      </c>
      <c r="O79" s="174"/>
      <c r="P79" s="181" t="str">
        <f>IF(A78=$D$8,XIRR(R$24:R78,C$24:C78),"")</f>
        <v/>
      </c>
      <c r="Q79" s="185" t="str">
        <f t="shared" si="14"/>
        <v/>
      </c>
      <c r="R79" s="177">
        <f t="shared" ca="1" si="6"/>
        <v>18365.3</v>
      </c>
      <c r="S79" s="178">
        <f t="shared" ca="1" si="7"/>
        <v>2026</v>
      </c>
      <c r="T79" s="178">
        <f t="shared" ca="1" si="8"/>
        <v>365</v>
      </c>
      <c r="U79" s="178">
        <f t="shared" ca="1" si="9"/>
        <v>23</v>
      </c>
      <c r="V79" s="183">
        <f t="shared" ca="1" si="10"/>
        <v>22</v>
      </c>
      <c r="W79" s="184">
        <f t="shared" ca="1" si="11"/>
        <v>9</v>
      </c>
    </row>
    <row r="80" spans="1:23" x14ac:dyDescent="0.25">
      <c r="A80" s="179">
        <f t="shared" si="12"/>
        <v>56</v>
      </c>
      <c r="B80" s="173">
        <f t="shared" ca="1" si="4"/>
        <v>46226</v>
      </c>
      <c r="C80" s="173">
        <f t="shared" ca="1" si="5"/>
        <v>46226</v>
      </c>
      <c r="D80" s="179">
        <f t="shared" ca="1" si="21"/>
        <v>30</v>
      </c>
      <c r="E80" s="174">
        <f t="shared" si="22"/>
        <v>66666.483333332639</v>
      </c>
      <c r="F80" s="174">
        <f>IF(AND(A79="",A81=""),"",IF(A80="",ROUND(SUM($F$25:F79),2),IF(A80=$D$8,$E$24-ROUND(SUM($F$25:F79),2),ROUND($E$24/$D$8,2))))</f>
        <v>16666.669999999998</v>
      </c>
      <c r="G80" s="174">
        <f ca="1">IF(A79=$D$8,ROUND(SUM($G$25:G79),2),IF(A80&gt;$F$8,"",IF(T80&lt;&gt;T79,ROUND(SUM(V80*$F$9*E79/T80,W80*$F$9*E79/T79),2),ROUND(E79*$F$9*D80/T79,2))))</f>
        <v>1369.86</v>
      </c>
      <c r="H80" s="174">
        <f ca="1">IF(A79=$D$8,SUM($H$25:H79),IF(A79&gt;$D$8,"",F80+G80))</f>
        <v>18036.53</v>
      </c>
      <c r="I80" s="185" t="str">
        <f t="shared" si="23"/>
        <v/>
      </c>
      <c r="J80" s="185" t="str">
        <f t="shared" si="24"/>
        <v/>
      </c>
      <c r="K80" s="185"/>
      <c r="L80" s="185" t="str">
        <f t="shared" si="25"/>
        <v/>
      </c>
      <c r="M80" s="174" t="str">
        <f t="shared" si="19"/>
        <v/>
      </c>
      <c r="N80" s="174" t="str">
        <f t="shared" si="17"/>
        <v/>
      </c>
      <c r="O80" s="174"/>
      <c r="P80" s="181" t="str">
        <f>IF(A79=$D$8,XIRR(R$24:R79,C$24:C79),"")</f>
        <v/>
      </c>
      <c r="Q80" s="185" t="str">
        <f t="shared" si="14"/>
        <v/>
      </c>
      <c r="R80" s="177">
        <f t="shared" ca="1" si="6"/>
        <v>18036.53</v>
      </c>
      <c r="S80" s="178">
        <f t="shared" ca="1" si="7"/>
        <v>2026</v>
      </c>
      <c r="T80" s="178">
        <f t="shared" ca="1" si="8"/>
        <v>365</v>
      </c>
      <c r="U80" s="178">
        <f t="shared" ca="1" si="9"/>
        <v>23</v>
      </c>
      <c r="V80" s="183">
        <f t="shared" ca="1" si="10"/>
        <v>22</v>
      </c>
      <c r="W80" s="184">
        <f t="shared" ca="1" si="11"/>
        <v>8</v>
      </c>
    </row>
    <row r="81" spans="1:23" x14ac:dyDescent="0.25">
      <c r="A81" s="179">
        <f t="shared" si="12"/>
        <v>57</v>
      </c>
      <c r="B81" s="173">
        <f t="shared" ca="1" si="4"/>
        <v>46257</v>
      </c>
      <c r="C81" s="173">
        <f t="shared" ca="1" si="5"/>
        <v>46257</v>
      </c>
      <c r="D81" s="179">
        <f t="shared" ca="1" si="21"/>
        <v>31</v>
      </c>
      <c r="E81" s="174">
        <f t="shared" si="22"/>
        <v>49999.81333333264</v>
      </c>
      <c r="F81" s="174">
        <f>IF(AND(A80="",A82=""),"",IF(A81="",ROUND(SUM($F$25:F80),2),IF(A81=$D$8,$E$24-ROUND(SUM($F$25:F80),2),ROUND($E$24/$D$8,2))))</f>
        <v>16666.669999999998</v>
      </c>
      <c r="G81" s="174">
        <f ca="1">IF(A80=$D$8,ROUND(SUM($G$25:G80),2),IF(A81&gt;$F$8,"",IF(T81&lt;&gt;T80,ROUND(SUM(V81*$F$9*E80/T81,W81*$F$9*E80/T80),2),ROUND(E80*$F$9*D81/T80,2))))</f>
        <v>1132.42</v>
      </c>
      <c r="H81" s="174">
        <f ca="1">IF(A80=$D$8,SUM($H$25:H80),IF(A80&gt;$D$8,"",F81+G81))</f>
        <v>17799.089999999997</v>
      </c>
      <c r="I81" s="185" t="str">
        <f t="shared" si="23"/>
        <v/>
      </c>
      <c r="J81" s="185" t="str">
        <f t="shared" si="24"/>
        <v/>
      </c>
      <c r="K81" s="185"/>
      <c r="L81" s="185" t="str">
        <f t="shared" si="25"/>
        <v/>
      </c>
      <c r="M81" s="174" t="str">
        <f t="shared" si="19"/>
        <v/>
      </c>
      <c r="N81" s="174" t="str">
        <f t="shared" si="17"/>
        <v/>
      </c>
      <c r="O81" s="174"/>
      <c r="P81" s="181" t="str">
        <f>IF(A80=$D$8,XIRR(R$24:R80,C$24:C80),"")</f>
        <v/>
      </c>
      <c r="Q81" s="185" t="str">
        <f t="shared" si="14"/>
        <v/>
      </c>
      <c r="R81" s="177">
        <f t="shared" ca="1" si="6"/>
        <v>17799.089999999997</v>
      </c>
      <c r="S81" s="178">
        <f t="shared" ca="1" si="7"/>
        <v>2026</v>
      </c>
      <c r="T81" s="178">
        <f t="shared" ca="1" si="8"/>
        <v>365</v>
      </c>
      <c r="U81" s="178">
        <f t="shared" ca="1" si="9"/>
        <v>23</v>
      </c>
      <c r="V81" s="183">
        <f t="shared" ca="1" si="10"/>
        <v>22</v>
      </c>
      <c r="W81" s="184">
        <f t="shared" ca="1" si="11"/>
        <v>9</v>
      </c>
    </row>
    <row r="82" spans="1:23" x14ac:dyDescent="0.25">
      <c r="A82" s="179">
        <f t="shared" si="12"/>
        <v>58</v>
      </c>
      <c r="B82" s="173">
        <f t="shared" ca="1" si="4"/>
        <v>46288</v>
      </c>
      <c r="C82" s="173">
        <f t="shared" ca="1" si="5"/>
        <v>46288</v>
      </c>
      <c r="D82" s="179">
        <f t="shared" ca="1" si="21"/>
        <v>31</v>
      </c>
      <c r="E82" s="174">
        <f t="shared" si="22"/>
        <v>33333.143333332642</v>
      </c>
      <c r="F82" s="174">
        <f>IF(AND(A81="",A83=""),"",IF(A82="",ROUND(SUM($F$25:F81),2),IF(A82=$D$8,$E$24-ROUND(SUM($F$25:F81),2),ROUND($E$24/$D$8,2))))</f>
        <v>16666.669999999998</v>
      </c>
      <c r="G82" s="174">
        <f ca="1">IF(A81=$D$8,ROUND(SUM($G$25:G81),2),IF(A82&gt;$F$8,"",IF(T82&lt;&gt;T81,ROUND(SUM(V82*$F$9*E81/T82,W82*$F$9*E81/T81),2),ROUND(E81*$F$9*D82/T81,2))))</f>
        <v>849.31</v>
      </c>
      <c r="H82" s="174">
        <f ca="1">IF(A81=$D$8,SUM($H$25:H81),IF(A81&gt;$D$8,"",F82+G82))</f>
        <v>17515.98</v>
      </c>
      <c r="I82" s="185" t="str">
        <f t="shared" si="23"/>
        <v/>
      </c>
      <c r="J82" s="185" t="str">
        <f t="shared" si="24"/>
        <v/>
      </c>
      <c r="K82" s="185"/>
      <c r="L82" s="185" t="str">
        <f t="shared" si="25"/>
        <v/>
      </c>
      <c r="M82" s="174" t="str">
        <f t="shared" si="19"/>
        <v/>
      </c>
      <c r="N82" s="174" t="str">
        <f t="shared" si="17"/>
        <v/>
      </c>
      <c r="O82" s="174"/>
      <c r="P82" s="181" t="str">
        <f>IF(A81=$D$8,XIRR(R$24:R81,C$24:C81),"")</f>
        <v/>
      </c>
      <c r="Q82" s="185" t="str">
        <f t="shared" si="14"/>
        <v/>
      </c>
      <c r="R82" s="177">
        <f t="shared" ca="1" si="6"/>
        <v>17515.98</v>
      </c>
      <c r="S82" s="178">
        <f t="shared" ca="1" si="7"/>
        <v>2026</v>
      </c>
      <c r="T82" s="178">
        <f t="shared" ca="1" si="8"/>
        <v>365</v>
      </c>
      <c r="U82" s="178">
        <f t="shared" ca="1" si="9"/>
        <v>23</v>
      </c>
      <c r="V82" s="183">
        <f t="shared" ca="1" si="10"/>
        <v>22</v>
      </c>
      <c r="W82" s="184">
        <f t="shared" ca="1" si="11"/>
        <v>9</v>
      </c>
    </row>
    <row r="83" spans="1:23" ht="17.25" customHeight="1" x14ac:dyDescent="0.25">
      <c r="A83" s="179">
        <f t="shared" si="12"/>
        <v>59</v>
      </c>
      <c r="B83" s="173">
        <f t="shared" ca="1" si="4"/>
        <v>46318</v>
      </c>
      <c r="C83" s="173">
        <f t="shared" ca="1" si="5"/>
        <v>46318</v>
      </c>
      <c r="D83" s="179">
        <f t="shared" ca="1" si="21"/>
        <v>30</v>
      </c>
      <c r="E83" s="174">
        <f t="shared" si="22"/>
        <v>16666.473333332644</v>
      </c>
      <c r="F83" s="174">
        <f>IF(AND(A82="",A84=""),"",IF(A83="",ROUND(SUM($F$25:F82),2),IF(A83=$D$8,$E$24-ROUND(SUM($F$25:F82),2),ROUND($E$24/$D$8,2))))</f>
        <v>16666.669999999998</v>
      </c>
      <c r="G83" s="174">
        <f ca="1">IF(A82=$D$8,ROUND(SUM($G$25:G82),2),IF(A83&gt;$F$8,"",IF(T83&lt;&gt;T82,ROUND(SUM(V83*$F$9*E82/T83,W83*$F$9*E82/T82),2),ROUND(E82*$F$9*D83/T82,2))))</f>
        <v>547.94000000000005</v>
      </c>
      <c r="H83" s="174">
        <f ca="1">IF(A82=$D$8,SUM($H$25:H82),IF(A82&gt;$D$8,"",F83+G83))</f>
        <v>17214.609999999997</v>
      </c>
      <c r="I83" s="185" t="str">
        <f t="shared" si="23"/>
        <v/>
      </c>
      <c r="J83" s="185" t="str">
        <f t="shared" si="24"/>
        <v/>
      </c>
      <c r="K83" s="185"/>
      <c r="L83" s="185" t="str">
        <f t="shared" si="25"/>
        <v/>
      </c>
      <c r="M83" s="174" t="str">
        <f t="shared" si="19"/>
        <v/>
      </c>
      <c r="N83" s="174" t="str">
        <f t="shared" si="17"/>
        <v/>
      </c>
      <c r="O83" s="174"/>
      <c r="P83" s="181" t="str">
        <f>IF(A82=$D$8,XIRR(R$24:R82,C$24:C82),"")</f>
        <v/>
      </c>
      <c r="Q83" s="185" t="str">
        <f t="shared" si="14"/>
        <v/>
      </c>
      <c r="R83" s="177">
        <f t="shared" ca="1" si="6"/>
        <v>17214.609999999997</v>
      </c>
      <c r="S83" s="178">
        <f t="shared" ca="1" si="7"/>
        <v>2026</v>
      </c>
      <c r="T83" s="178">
        <f t="shared" ca="1" si="8"/>
        <v>365</v>
      </c>
      <c r="U83" s="178">
        <f t="shared" ca="1" si="9"/>
        <v>23</v>
      </c>
      <c r="V83" s="183">
        <f t="shared" ca="1" si="10"/>
        <v>22</v>
      </c>
      <c r="W83" s="184">
        <f t="shared" ca="1" si="11"/>
        <v>8</v>
      </c>
    </row>
    <row r="84" spans="1:23" x14ac:dyDescent="0.25">
      <c r="A84" s="179">
        <f t="shared" si="12"/>
        <v>60</v>
      </c>
      <c r="B84" s="173">
        <f t="shared" ca="1" si="4"/>
        <v>46349</v>
      </c>
      <c r="C84" s="173">
        <f t="shared" ca="1" si="5"/>
        <v>46348</v>
      </c>
      <c r="D84" s="179">
        <f t="shared" ca="1" si="21"/>
        <v>30</v>
      </c>
      <c r="E84" s="174">
        <f t="shared" si="22"/>
        <v>3.3333326719002798E-3</v>
      </c>
      <c r="F84" s="174">
        <f>IF(AND(A83="",A85=""),"",IF(A84="",ROUND(SUM($F$25:F83),2),IF(A84=$D$8,$E$24-ROUND(SUM($F$25:F83),2),ROUND($E$24/$D$8,2))))</f>
        <v>16666.469999999972</v>
      </c>
      <c r="G84" s="156">
        <f ca="1">IF(A83=$D$8,ROUND(SUM($G$25:G83),2),IF(A84&gt;$F$8,"",IF(T84&lt;&gt;T83,ROUND(SUM(V84*$F$9*E83/T84,W84*$F$9*E83/T83),2),ROUND(E83*$F$9*D84/T83,2))))</f>
        <v>273.97000000000003</v>
      </c>
      <c r="H84" s="174">
        <f ca="1">IF(A83=$D$8,SUM($H$25:H83),IF(A83&gt;$D$8,"",F84+G84))</f>
        <v>16940.439999999973</v>
      </c>
      <c r="I84" s="185" t="str">
        <f t="shared" si="23"/>
        <v/>
      </c>
      <c r="J84" s="185" t="str">
        <f t="shared" si="24"/>
        <v/>
      </c>
      <c r="K84" s="185"/>
      <c r="L84" s="185" t="str">
        <f t="shared" si="25"/>
        <v/>
      </c>
      <c r="M84" s="174" t="str">
        <f t="shared" si="19"/>
        <v/>
      </c>
      <c r="N84" s="174" t="str">
        <f t="shared" si="17"/>
        <v/>
      </c>
      <c r="O84" s="174"/>
      <c r="P84" s="181" t="str">
        <f>IF(A83=$D$8,XIRR(R$24:R83,C$24:C83),"")</f>
        <v/>
      </c>
      <c r="Q84" s="185" t="str">
        <f t="shared" si="14"/>
        <v/>
      </c>
      <c r="R84" s="177">
        <f t="shared" ca="1" si="6"/>
        <v>16940.439999999973</v>
      </c>
      <c r="S84" s="178">
        <f t="shared" ca="1" si="7"/>
        <v>2026</v>
      </c>
      <c r="T84" s="178">
        <f t="shared" ca="1" si="8"/>
        <v>365</v>
      </c>
      <c r="U84" s="178">
        <f t="shared" ca="1" si="9"/>
        <v>22</v>
      </c>
      <c r="V84" s="183">
        <f t="shared" ca="1" si="10"/>
        <v>21</v>
      </c>
      <c r="W84" s="184">
        <f t="shared" ca="1" si="11"/>
        <v>9</v>
      </c>
    </row>
    <row r="85" spans="1:23" x14ac:dyDescent="0.25">
      <c r="A85" s="179" t="str">
        <f t="shared" si="12"/>
        <v/>
      </c>
      <c r="B85" s="173" t="e">
        <f t="shared" ca="1" si="4"/>
        <v>#VALUE!</v>
      </c>
      <c r="C85" s="173" t="e">
        <f t="shared" ca="1" si="5"/>
        <v>#VALUE!</v>
      </c>
      <c r="D85" s="179" t="str">
        <f t="shared" si="21"/>
        <v/>
      </c>
      <c r="E85" s="174" t="str">
        <f t="shared" si="22"/>
        <v/>
      </c>
      <c r="F85" s="174">
        <f>IF(AND(A84="",A86=""),"",IF(A85="",ROUND(SUM($F$25:F84),2),IF(A85=$D$8,$E$24-ROUND(SUM($F$25:F84),2),ROUND($E$24/$D$8,2))))</f>
        <v>1000000</v>
      </c>
      <c r="G85" s="156">
        <f ca="1">IF(A84=$D$8,ROUND(SUM($G$25:G84),2),IF(A85&gt;$F$8,"",IF(T85&lt;&gt;T84,ROUND(SUM(V85*$F$9*E84/T85,W85*$F$9*E84/T84),2),ROUND(E84*$F$9*D85/T84,2))))</f>
        <v>508016.3</v>
      </c>
      <c r="H85" s="174">
        <f ca="1">IF(A84=$D$8,SUM($H$25:H84),IF(A84&gt;$D$8,"",F85+G85))</f>
        <v>1508016.2966666671</v>
      </c>
      <c r="I85" s="156">
        <f t="shared" si="23"/>
        <v>10000</v>
      </c>
      <c r="J85" s="156">
        <f t="shared" si="24"/>
        <v>2000</v>
      </c>
      <c r="K85" s="185">
        <f>IF($F$8&gt;60,($O$8+$O$10),IF($A$84=$F$8,$K$37+$K$24+$K$49+$K$61+$K$73,""))</f>
        <v>36250</v>
      </c>
      <c r="L85" s="156">
        <f t="shared" si="25"/>
        <v>0</v>
      </c>
      <c r="M85" s="174">
        <f t="shared" si="19"/>
        <v>10000</v>
      </c>
      <c r="N85" s="185">
        <f>IF($F$8&gt;60,($N$14),IF(A84=$F$8,N73+N61+N49+N37+N24,""))</f>
        <v>0</v>
      </c>
      <c r="O85" s="174"/>
      <c r="P85" s="181">
        <f ca="1">IF(A84=$D$8,XIRR(R$24:R84,C$24:C84),"")</f>
        <v>0.25053634047508244</v>
      </c>
      <c r="Q85" s="156">
        <f t="shared" ca="1" si="14"/>
        <v>1566266.3</v>
      </c>
      <c r="R85" s="177">
        <f t="shared" ca="1" si="6"/>
        <v>3132532.8472030079</v>
      </c>
      <c r="S85" s="178" t="e">
        <f t="shared" ca="1" si="7"/>
        <v>#VALUE!</v>
      </c>
      <c r="T85" s="178" t="e">
        <f t="shared" ca="1" si="8"/>
        <v>#VALUE!</v>
      </c>
      <c r="U85" s="178" t="e">
        <f t="shared" ref="U85:U108" ca="1" si="26">IF(C85="","",DAY(C85))</f>
        <v>#VALUE!</v>
      </c>
      <c r="V85" s="183" t="e">
        <f t="shared" ref="V85:V108" ca="1" si="27">U85-1</f>
        <v>#VALUE!</v>
      </c>
      <c r="W85" s="184" t="e">
        <f t="shared" ref="W85:W148" ca="1" si="28">D85-V85</f>
        <v>#VALUE!</v>
      </c>
    </row>
    <row r="86" spans="1:23" hidden="1" x14ac:dyDescent="0.25">
      <c r="A86" s="179" t="str">
        <f t="shared" si="12"/>
        <v/>
      </c>
      <c r="B86" s="173" t="e">
        <f t="shared" ca="1" si="4"/>
        <v>#VALUE!</v>
      </c>
      <c r="C86" s="173" t="e">
        <f t="shared" ca="1" si="5"/>
        <v>#VALUE!</v>
      </c>
      <c r="D86" s="179" t="str">
        <f t="shared" si="21"/>
        <v/>
      </c>
      <c r="E86" s="174" t="str">
        <f t="shared" si="22"/>
        <v/>
      </c>
      <c r="F86" s="174" t="str">
        <f>IF(AND(A85="",A87=""),"",IF(A86="",ROUND(SUM($F$25:F85),2),IF(A86=$D$8,$E$24-ROUND(SUM($F$25:F85),2),ROUND($E$24/$D$8,2))))</f>
        <v/>
      </c>
      <c r="G86" s="156" t="str">
        <f>IF(A85=$D$8,ROUND(SUM($G$25:G85),2),IF(A86&gt;$F$8,"",IF(T86&lt;&gt;T85,ROUND(SUM(V86*$F$9*E85/T86,W86*$F$9*E85/T85),2),ROUND(E85*$F$9*D86/T85,2))))</f>
        <v/>
      </c>
      <c r="H86" s="174" t="str">
        <f>IF(A85=$D$8,SUM($H$25:H85),IF(A85&gt;$D$8,"",F86+G86))</f>
        <v/>
      </c>
      <c r="I86" s="185" t="str">
        <f t="shared" si="23"/>
        <v/>
      </c>
      <c r="J86" s="185" t="str">
        <f t="shared" si="24"/>
        <v/>
      </c>
      <c r="K86" s="185"/>
      <c r="L86" s="185" t="str">
        <f t="shared" si="25"/>
        <v/>
      </c>
      <c r="M86" s="174" t="str">
        <f t="shared" si="19"/>
        <v/>
      </c>
      <c r="N86" s="174" t="str">
        <f t="shared" si="17"/>
        <v/>
      </c>
      <c r="O86" s="174"/>
      <c r="P86" s="181" t="str">
        <f>IF(A85=$D$8,XIRR(R$24:R85,C$24:C85),"")</f>
        <v/>
      </c>
      <c r="Q86" s="185" t="str">
        <f t="shared" si="14"/>
        <v/>
      </c>
      <c r="R86" s="177">
        <f t="shared" si="6"/>
        <v>0</v>
      </c>
      <c r="S86" s="178" t="e">
        <f t="shared" ca="1" si="7"/>
        <v>#VALUE!</v>
      </c>
      <c r="T86" s="178" t="e">
        <f t="shared" ca="1" si="8"/>
        <v>#VALUE!</v>
      </c>
      <c r="U86" s="178" t="e">
        <f t="shared" ca="1" si="26"/>
        <v>#VALUE!</v>
      </c>
      <c r="V86" s="183" t="e">
        <f t="shared" ca="1" si="27"/>
        <v>#VALUE!</v>
      </c>
      <c r="W86" s="184" t="e">
        <f t="shared" ca="1" si="28"/>
        <v>#VALUE!</v>
      </c>
    </row>
    <row r="87" spans="1:23" hidden="1" x14ac:dyDescent="0.25">
      <c r="A87" s="179" t="str">
        <f t="shared" si="12"/>
        <v/>
      </c>
      <c r="B87" s="173" t="e">
        <f t="shared" ca="1" si="4"/>
        <v>#VALUE!</v>
      </c>
      <c r="C87" s="173" t="e">
        <f t="shared" ca="1" si="5"/>
        <v>#VALUE!</v>
      </c>
      <c r="D87" s="179" t="str">
        <f t="shared" si="21"/>
        <v/>
      </c>
      <c r="E87" s="174" t="str">
        <f t="shared" si="22"/>
        <v/>
      </c>
      <c r="F87" s="174" t="str">
        <f>IF(AND(A86="",A88=""),"",IF(A87="",ROUND(SUM($F$25:F86),2),IF(A87=$D$8,$E$24-ROUND(SUM($F$25:F86),2),ROUND($E$24/$D$8,2))))</f>
        <v/>
      </c>
      <c r="G87" s="156" t="str">
        <f>IF(A86=$D$8,ROUND(SUM($G$25:G86),2),IF(A87&gt;$F$8,"",IF(T87&lt;&gt;T86,ROUND(SUM(V87*$F$9*E86/T87,W87*$F$9*E86/T86),2),ROUND(E86*$F$9*D87/T86,2))))</f>
        <v/>
      </c>
      <c r="H87" s="174" t="str">
        <f>IF(A86=$D$8,SUM($H$25:H86),IF(A86&gt;$D$8,"",F87+G87))</f>
        <v/>
      </c>
      <c r="I87" s="185" t="str">
        <f t="shared" si="23"/>
        <v/>
      </c>
      <c r="J87" s="185" t="str">
        <f t="shared" si="24"/>
        <v/>
      </c>
      <c r="K87" s="185"/>
      <c r="L87" s="185" t="str">
        <f t="shared" si="25"/>
        <v/>
      </c>
      <c r="M87" s="174" t="str">
        <f t="shared" si="19"/>
        <v/>
      </c>
      <c r="N87" s="174" t="str">
        <f t="shared" si="17"/>
        <v/>
      </c>
      <c r="O87" s="174"/>
      <c r="P87" s="181" t="str">
        <f>IF(A86=$D$8,XIRR(R$24:R86,C$24:C86),"")</f>
        <v/>
      </c>
      <c r="Q87" s="185" t="str">
        <f t="shared" si="14"/>
        <v/>
      </c>
      <c r="R87" s="177">
        <f t="shared" si="6"/>
        <v>0</v>
      </c>
      <c r="S87" s="178" t="e">
        <f t="shared" ca="1" si="7"/>
        <v>#VALUE!</v>
      </c>
      <c r="T87" s="178" t="e">
        <f t="shared" ca="1" si="8"/>
        <v>#VALUE!</v>
      </c>
      <c r="U87" s="178" t="e">
        <f t="shared" ca="1" si="26"/>
        <v>#VALUE!</v>
      </c>
      <c r="V87" s="183" t="e">
        <f t="shared" ca="1" si="27"/>
        <v>#VALUE!</v>
      </c>
      <c r="W87" s="184" t="e">
        <f t="shared" ca="1" si="28"/>
        <v>#VALUE!</v>
      </c>
    </row>
    <row r="88" spans="1:23" hidden="1" x14ac:dyDescent="0.25">
      <c r="A88" s="179" t="str">
        <f t="shared" si="12"/>
        <v/>
      </c>
      <c r="B88" s="173" t="e">
        <f t="shared" ca="1" si="4"/>
        <v>#VALUE!</v>
      </c>
      <c r="C88" s="173" t="e">
        <f t="shared" ca="1" si="5"/>
        <v>#VALUE!</v>
      </c>
      <c r="D88" s="179" t="str">
        <f t="shared" si="21"/>
        <v/>
      </c>
      <c r="E88" s="174" t="str">
        <f t="shared" si="22"/>
        <v/>
      </c>
      <c r="F88" s="174" t="str">
        <f>IF(AND(A87="",A89=""),"",IF(A88="",ROUND(SUM($F$25:F87),2),IF(A88=$D$8,$E$24-ROUND(SUM($F$25:F87),2),ROUND($E$24/$D$8,2))))</f>
        <v/>
      </c>
      <c r="G88" s="156" t="str">
        <f>IF(A87=$D$8,ROUND(SUM($G$25:G87),2),IF(A88&gt;$F$8,"",IF(T88&lt;&gt;T87,ROUND(SUM(V88*$F$9*E87/T88,W88*$F$9*E87/T87),2),ROUND(E87*$F$9*D88/T87,2))))</f>
        <v/>
      </c>
      <c r="H88" s="174" t="str">
        <f>IF(A87=$D$8,SUM($H$25:H87),IF(A87&gt;$D$8,"",F88+G88))</f>
        <v/>
      </c>
      <c r="I88" s="185" t="str">
        <f t="shared" si="23"/>
        <v/>
      </c>
      <c r="J88" s="185" t="str">
        <f t="shared" si="24"/>
        <v/>
      </c>
      <c r="K88" s="185"/>
      <c r="L88" s="185" t="str">
        <f t="shared" si="25"/>
        <v/>
      </c>
      <c r="M88" s="174" t="str">
        <f t="shared" si="19"/>
        <v/>
      </c>
      <c r="N88" s="174" t="str">
        <f t="shared" si="17"/>
        <v/>
      </c>
      <c r="O88" s="174"/>
      <c r="P88" s="181" t="str">
        <f>IF(A87=$D$8,XIRR(R$24:R87,C$24:C87),"")</f>
        <v/>
      </c>
      <c r="Q88" s="185" t="str">
        <f t="shared" si="14"/>
        <v/>
      </c>
      <c r="R88" s="177">
        <f t="shared" si="6"/>
        <v>0</v>
      </c>
      <c r="S88" s="178" t="e">
        <f t="shared" ca="1" si="7"/>
        <v>#VALUE!</v>
      </c>
      <c r="T88" s="178" t="e">
        <f t="shared" ca="1" si="8"/>
        <v>#VALUE!</v>
      </c>
      <c r="U88" s="178" t="e">
        <f t="shared" ca="1" si="26"/>
        <v>#VALUE!</v>
      </c>
      <c r="V88" s="183" t="e">
        <f t="shared" ca="1" si="27"/>
        <v>#VALUE!</v>
      </c>
      <c r="W88" s="184" t="e">
        <f t="shared" ca="1" si="28"/>
        <v>#VALUE!</v>
      </c>
    </row>
    <row r="89" spans="1:23" hidden="1" x14ac:dyDescent="0.25">
      <c r="A89" s="179" t="str">
        <f t="shared" si="12"/>
        <v/>
      </c>
      <c r="B89" s="173" t="e">
        <f t="shared" ca="1" si="4"/>
        <v>#VALUE!</v>
      </c>
      <c r="C89" s="173" t="e">
        <f t="shared" ca="1" si="5"/>
        <v>#VALUE!</v>
      </c>
      <c r="D89" s="179" t="str">
        <f t="shared" si="21"/>
        <v/>
      </c>
      <c r="E89" s="174" t="str">
        <f t="shared" si="22"/>
        <v/>
      </c>
      <c r="F89" s="174" t="str">
        <f>IF(AND(A88="",A90=""),"",IF(A89="",ROUND(SUM($F$25:F88),2),IF(A89=$D$8,$E$24-ROUND(SUM($F$25:F88),2),ROUND($E$24/$D$8,2))))</f>
        <v/>
      </c>
      <c r="G89" s="156" t="str">
        <f>IF(A88=$D$8,ROUND(SUM($G$25:G88),2),IF(A89&gt;$F$8,"",IF(T89&lt;&gt;T88,ROUND(SUM(V89*$F$9*E88/T89,W89*$F$9*E88/T88),2),ROUND(E88*$F$9*D89/T88,2))))</f>
        <v/>
      </c>
      <c r="H89" s="174" t="str">
        <f>IF(A88=$D$8,SUM($H$25:H88),IF(A88&gt;$D$8,"",F89+G89))</f>
        <v/>
      </c>
      <c r="I89" s="185" t="str">
        <f t="shared" si="23"/>
        <v/>
      </c>
      <c r="J89" s="185" t="str">
        <f t="shared" si="24"/>
        <v/>
      </c>
      <c r="K89" s="185"/>
      <c r="L89" s="185" t="str">
        <f t="shared" si="25"/>
        <v/>
      </c>
      <c r="M89" s="174" t="str">
        <f t="shared" si="19"/>
        <v/>
      </c>
      <c r="N89" s="174" t="str">
        <f t="shared" si="17"/>
        <v/>
      </c>
      <c r="O89" s="174"/>
      <c r="P89" s="181" t="str">
        <f>IF(A88=$D$8,XIRR(R$24:R88,C$24:C88),"")</f>
        <v/>
      </c>
      <c r="Q89" s="185" t="str">
        <f t="shared" si="14"/>
        <v/>
      </c>
      <c r="R89" s="177">
        <f t="shared" si="6"/>
        <v>0</v>
      </c>
      <c r="S89" s="178" t="e">
        <f t="shared" ca="1" si="7"/>
        <v>#VALUE!</v>
      </c>
      <c r="T89" s="178" t="e">
        <f t="shared" ca="1" si="8"/>
        <v>#VALUE!</v>
      </c>
      <c r="U89" s="178" t="e">
        <f t="shared" ca="1" si="26"/>
        <v>#VALUE!</v>
      </c>
      <c r="V89" s="183" t="e">
        <f t="shared" ca="1" si="27"/>
        <v>#VALUE!</v>
      </c>
      <c r="W89" s="184" t="e">
        <f t="shared" ca="1" si="28"/>
        <v>#VALUE!</v>
      </c>
    </row>
    <row r="90" spans="1:23" hidden="1" x14ac:dyDescent="0.25">
      <c r="A90" s="179" t="str">
        <f t="shared" si="12"/>
        <v/>
      </c>
      <c r="B90" s="173" t="e">
        <f t="shared" ref="B90:B153" ca="1" si="29">EDATE($B$24,A90)</f>
        <v>#VALUE!</v>
      </c>
      <c r="C90" s="173" t="e">
        <f t="shared" ref="C90:C153" ca="1" si="30">IF(B90=$D$10,B90-1,(IF(B90&gt;$D$10," ",B90)))</f>
        <v>#VALUE!</v>
      </c>
      <c r="D90" s="179" t="str">
        <f t="shared" si="21"/>
        <v/>
      </c>
      <c r="E90" s="174" t="str">
        <f t="shared" si="22"/>
        <v/>
      </c>
      <c r="F90" s="174" t="str">
        <f>IF(AND(A89="",A91=""),"",IF(A90="",ROUND(SUM($F$25:F89),2),IF(A90=$D$8,$E$24-ROUND(SUM($F$25:F89),2),ROUND($E$24/$D$8,2))))</f>
        <v/>
      </c>
      <c r="G90" s="156" t="str">
        <f>IF(A89=$D$8,ROUND(SUM($G$25:G89),2),IF(A90&gt;$F$8,"",IF(T90&lt;&gt;T89,ROUND(SUM(V90*$F$9*E89/T90,W90*$F$9*E89/T89),2),ROUND(E89*$F$9*D90/T89,2))))</f>
        <v/>
      </c>
      <c r="H90" s="174" t="str">
        <f>IF(A89=$D$8,SUM($H$25:H89),IF(A89&gt;$D$8,"",F90+G90))</f>
        <v/>
      </c>
      <c r="I90" s="185" t="str">
        <f t="shared" si="23"/>
        <v/>
      </c>
      <c r="J90" s="185" t="str">
        <f t="shared" si="24"/>
        <v/>
      </c>
      <c r="K90" s="185"/>
      <c r="L90" s="185" t="str">
        <f t="shared" si="25"/>
        <v/>
      </c>
      <c r="M90" s="174" t="str">
        <f t="shared" si="19"/>
        <v/>
      </c>
      <c r="N90" s="174" t="str">
        <f t="shared" si="17"/>
        <v/>
      </c>
      <c r="O90" s="174"/>
      <c r="P90" s="181" t="str">
        <f>IF(A89=$D$8,XIRR(R$24:R89,C$24:C89),"")</f>
        <v/>
      </c>
      <c r="Q90" s="185" t="str">
        <f t="shared" si="14"/>
        <v/>
      </c>
      <c r="R90" s="177">
        <f t="shared" ref="R90:R153" si="31">SUM(H90:Q90)</f>
        <v>0</v>
      </c>
      <c r="S90" s="178" t="e">
        <f t="shared" ref="S90:S153" ca="1" si="32">IF(C90="","",YEAR(C90))</f>
        <v>#VALUE!</v>
      </c>
      <c r="T90" s="178" t="e">
        <f t="shared" ref="T90:T153" ca="1" si="33">IF(OR(S90=2024,S90=2028,S90=2016,S90=2020,S90=2024,S90=2028,S90=2032,S90=2036,S90=2040),366,365)</f>
        <v>#VALUE!</v>
      </c>
      <c r="U90" s="178" t="e">
        <f t="shared" ca="1" si="26"/>
        <v>#VALUE!</v>
      </c>
      <c r="V90" s="183" t="e">
        <f t="shared" ca="1" si="27"/>
        <v>#VALUE!</v>
      </c>
      <c r="W90" s="184" t="e">
        <f t="shared" ca="1" si="28"/>
        <v>#VALUE!</v>
      </c>
    </row>
    <row r="91" spans="1:23" hidden="1" x14ac:dyDescent="0.25">
      <c r="A91" s="179" t="str">
        <f t="shared" ref="A91:A154" si="34">IF(A90&lt;$D$8,A90+1,"")</f>
        <v/>
      </c>
      <c r="B91" s="173" t="e">
        <f t="shared" ca="1" si="29"/>
        <v>#VALUE!</v>
      </c>
      <c r="C91" s="173" t="e">
        <f t="shared" ca="1" si="30"/>
        <v>#VALUE!</v>
      </c>
      <c r="D91" s="179" t="str">
        <f t="shared" si="21"/>
        <v/>
      </c>
      <c r="E91" s="174" t="str">
        <f t="shared" si="22"/>
        <v/>
      </c>
      <c r="F91" s="174" t="str">
        <f>IF(AND(A90="",A92=""),"",IF(A91="",ROUND(SUM($F$25:F90),2),IF(A91=$D$8,$E$24-ROUND(SUM($F$25:F90),2),ROUND($E$24/$D$8,2))))</f>
        <v/>
      </c>
      <c r="G91" s="156" t="str">
        <f>IF(A90=$D$8,ROUND(SUM($G$25:G90),2),IF(A91&gt;$F$8,"",IF(T91&lt;&gt;T90,ROUND(SUM(V91*$F$9*E90/T91,W91*$F$9*E90/T90),2),ROUND(E90*$F$9*D91/T90,2))))</f>
        <v/>
      </c>
      <c r="H91" s="174" t="str">
        <f>IF(A90=$D$8,SUM($H$25:H90),IF(A90&gt;$D$8,"",F91+G91))</f>
        <v/>
      </c>
      <c r="I91" s="185" t="str">
        <f t="shared" si="23"/>
        <v/>
      </c>
      <c r="J91" s="185" t="str">
        <f t="shared" si="24"/>
        <v/>
      </c>
      <c r="K91" s="185"/>
      <c r="L91" s="185" t="str">
        <f t="shared" si="25"/>
        <v/>
      </c>
      <c r="M91" s="174" t="str">
        <f t="shared" si="19"/>
        <v/>
      </c>
      <c r="N91" s="174" t="str">
        <f t="shared" si="17"/>
        <v/>
      </c>
      <c r="O91" s="174"/>
      <c r="P91" s="181" t="str">
        <f>IF(A90=$D$8,XIRR(R$24:R90,C$24:C90),"")</f>
        <v/>
      </c>
      <c r="Q91" s="185" t="str">
        <f t="shared" si="14"/>
        <v/>
      </c>
      <c r="R91" s="177">
        <f t="shared" si="31"/>
        <v>0</v>
      </c>
      <c r="S91" s="178" t="e">
        <f t="shared" ca="1" si="32"/>
        <v>#VALUE!</v>
      </c>
      <c r="T91" s="178" t="e">
        <f t="shared" ca="1" si="33"/>
        <v>#VALUE!</v>
      </c>
      <c r="U91" s="178" t="e">
        <f t="shared" ca="1" si="26"/>
        <v>#VALUE!</v>
      </c>
      <c r="V91" s="183" t="e">
        <f t="shared" ca="1" si="27"/>
        <v>#VALUE!</v>
      </c>
      <c r="W91" s="184" t="e">
        <f t="shared" ca="1" si="28"/>
        <v>#VALUE!</v>
      </c>
    </row>
    <row r="92" spans="1:23" hidden="1" x14ac:dyDescent="0.25">
      <c r="A92" s="179" t="str">
        <f t="shared" si="34"/>
        <v/>
      </c>
      <c r="B92" s="173" t="e">
        <f t="shared" ca="1" si="29"/>
        <v>#VALUE!</v>
      </c>
      <c r="C92" s="173" t="e">
        <f t="shared" ca="1" si="30"/>
        <v>#VALUE!</v>
      </c>
      <c r="D92" s="179" t="str">
        <f t="shared" si="21"/>
        <v/>
      </c>
      <c r="E92" s="174" t="str">
        <f t="shared" si="22"/>
        <v/>
      </c>
      <c r="F92" s="174" t="str">
        <f>IF(AND(A91="",A93=""),"",IF(A92="",ROUND(SUM($F$25:F91),2),IF(A92=$D$8,$E$24-ROUND(SUM($F$25:F91),2),ROUND($E$24/$D$8,2))))</f>
        <v/>
      </c>
      <c r="G92" s="156" t="str">
        <f>IF(A91=$D$8,ROUND(SUM($G$25:G91),2),IF(A92&gt;$F$8,"",IF(T92&lt;&gt;T91,ROUND(SUM(V92*$F$9*E91/T92,W92*$F$9*E91/T91),2),ROUND(E91*$F$9*D92/T91,2))))</f>
        <v/>
      </c>
      <c r="H92" s="174" t="str">
        <f>IF(A91=$D$8,SUM($H$25:H91),IF(A91&gt;$D$8,"",F92+G92))</f>
        <v/>
      </c>
      <c r="I92" s="185" t="str">
        <f t="shared" si="23"/>
        <v/>
      </c>
      <c r="J92" s="185" t="str">
        <f t="shared" si="24"/>
        <v/>
      </c>
      <c r="K92" s="185"/>
      <c r="L92" s="185" t="str">
        <f t="shared" si="25"/>
        <v/>
      </c>
      <c r="M92" s="174" t="str">
        <f t="shared" si="19"/>
        <v/>
      </c>
      <c r="N92" s="174" t="str">
        <f t="shared" si="17"/>
        <v/>
      </c>
      <c r="O92" s="174"/>
      <c r="P92" s="181" t="str">
        <f>IF(A91=$D$8,XIRR(R$24:R91,C$24:C91),"")</f>
        <v/>
      </c>
      <c r="Q92" s="185" t="str">
        <f t="shared" ref="Q92:Q155" si="35">IF(A91=$D$8,G92+M92+F92+I92+J92+K92+L92+N92+O92,"")</f>
        <v/>
      </c>
      <c r="R92" s="177">
        <f t="shared" si="31"/>
        <v>0</v>
      </c>
      <c r="S92" s="178" t="e">
        <f t="shared" ca="1" si="32"/>
        <v>#VALUE!</v>
      </c>
      <c r="T92" s="178" t="e">
        <f t="shared" ca="1" si="33"/>
        <v>#VALUE!</v>
      </c>
      <c r="U92" s="178" t="e">
        <f t="shared" ca="1" si="26"/>
        <v>#VALUE!</v>
      </c>
      <c r="V92" s="183" t="e">
        <f t="shared" ca="1" si="27"/>
        <v>#VALUE!</v>
      </c>
      <c r="W92" s="184" t="e">
        <f t="shared" ca="1" si="28"/>
        <v>#VALUE!</v>
      </c>
    </row>
    <row r="93" spans="1:23" hidden="1" x14ac:dyDescent="0.25">
      <c r="A93" s="179" t="str">
        <f t="shared" si="34"/>
        <v/>
      </c>
      <c r="B93" s="173" t="e">
        <f t="shared" ca="1" si="29"/>
        <v>#VALUE!</v>
      </c>
      <c r="C93" s="173" t="e">
        <f t="shared" ca="1" si="30"/>
        <v>#VALUE!</v>
      </c>
      <c r="D93" s="179" t="str">
        <f t="shared" si="21"/>
        <v/>
      </c>
      <c r="E93" s="174" t="str">
        <f t="shared" si="22"/>
        <v/>
      </c>
      <c r="F93" s="174" t="str">
        <f>IF(AND(A92="",A94=""),"",IF(A93="",ROUND(SUM($F$25:F92),2),IF(A93=$D$8,$E$24-ROUND(SUM($F$25:F92),2),ROUND($E$24/$D$8,2))))</f>
        <v/>
      </c>
      <c r="G93" s="156" t="str">
        <f>IF(A92=$D$8,ROUND(SUM($G$25:G92),2),IF(A93&gt;$F$8,"",IF(T93&lt;&gt;T92,ROUND(SUM(V93*$F$9*E92/T93,W93*$F$9*E92/T92),2),ROUND(E92*$F$9*D93/T92,2))))</f>
        <v/>
      </c>
      <c r="H93" s="174" t="str">
        <f>IF(A92=$D$8,SUM($H$25:H92),IF(A92&gt;$D$8,"",F93+G93))</f>
        <v/>
      </c>
      <c r="I93" s="185" t="str">
        <f t="shared" si="23"/>
        <v/>
      </c>
      <c r="J93" s="185" t="str">
        <f t="shared" si="24"/>
        <v/>
      </c>
      <c r="K93" s="185"/>
      <c r="L93" s="185" t="str">
        <f t="shared" si="25"/>
        <v/>
      </c>
      <c r="M93" s="174" t="str">
        <f t="shared" si="19"/>
        <v/>
      </c>
      <c r="N93" s="174" t="str">
        <f t="shared" si="17"/>
        <v/>
      </c>
      <c r="O93" s="174"/>
      <c r="P93" s="181" t="str">
        <f>IF(A92=$D$8,XIRR(R$24:R92,C$24:C92),"")</f>
        <v/>
      </c>
      <c r="Q93" s="185" t="str">
        <f t="shared" si="35"/>
        <v/>
      </c>
      <c r="R93" s="177">
        <f t="shared" si="31"/>
        <v>0</v>
      </c>
      <c r="S93" s="178" t="e">
        <f t="shared" ca="1" si="32"/>
        <v>#VALUE!</v>
      </c>
      <c r="T93" s="178" t="e">
        <f t="shared" ca="1" si="33"/>
        <v>#VALUE!</v>
      </c>
      <c r="U93" s="178" t="e">
        <f t="shared" ca="1" si="26"/>
        <v>#VALUE!</v>
      </c>
      <c r="V93" s="183" t="e">
        <f t="shared" ca="1" si="27"/>
        <v>#VALUE!</v>
      </c>
      <c r="W93" s="184" t="e">
        <f t="shared" ca="1" si="28"/>
        <v>#VALUE!</v>
      </c>
    </row>
    <row r="94" spans="1:23" hidden="1" x14ac:dyDescent="0.25">
      <c r="A94" s="179" t="str">
        <f t="shared" si="34"/>
        <v/>
      </c>
      <c r="B94" s="173" t="e">
        <f t="shared" ca="1" si="29"/>
        <v>#VALUE!</v>
      </c>
      <c r="C94" s="173" t="e">
        <f t="shared" ca="1" si="30"/>
        <v>#VALUE!</v>
      </c>
      <c r="D94" s="179" t="str">
        <f t="shared" si="21"/>
        <v/>
      </c>
      <c r="E94" s="174" t="str">
        <f t="shared" si="22"/>
        <v/>
      </c>
      <c r="F94" s="174" t="str">
        <f>IF(AND(A93="",A95=""),"",IF(A94="",ROUND(SUM($F$25:F93),2),IF(A94=$D$8,$E$24-ROUND(SUM($F$25:F93),2),ROUND($E$24/$D$8,2))))</f>
        <v/>
      </c>
      <c r="G94" s="156" t="str">
        <f>IF(A93=$D$8,ROUND(SUM($G$25:G93),2),IF(A94&gt;$F$8,"",IF(T94&lt;&gt;T93,ROUND(SUM(V94*$F$9*E93/T94,W94*$F$9*E93/T93),2),ROUND(E93*$F$9*D94/T93,2))))</f>
        <v/>
      </c>
      <c r="H94" s="174" t="str">
        <f>IF(A93=$D$8,SUM($H$25:H93),IF(A93&gt;$D$8,"",F94+G94))</f>
        <v/>
      </c>
      <c r="I94" s="185" t="str">
        <f t="shared" si="23"/>
        <v/>
      </c>
      <c r="J94" s="185" t="str">
        <f t="shared" si="24"/>
        <v/>
      </c>
      <c r="K94" s="185"/>
      <c r="L94" s="185" t="str">
        <f t="shared" si="25"/>
        <v/>
      </c>
      <c r="M94" s="174" t="str">
        <f t="shared" si="19"/>
        <v/>
      </c>
      <c r="N94" s="174" t="str">
        <f t="shared" ref="N94:N156" si="36">IF(A93=$D$8,$N$24,"")</f>
        <v/>
      </c>
      <c r="O94" s="174"/>
      <c r="P94" s="181" t="str">
        <f>IF(A93=$D$8,XIRR(R$24:R93,C$24:C93),"")</f>
        <v/>
      </c>
      <c r="Q94" s="185" t="str">
        <f t="shared" si="35"/>
        <v/>
      </c>
      <c r="R94" s="177">
        <f t="shared" si="31"/>
        <v>0</v>
      </c>
      <c r="S94" s="178" t="e">
        <f t="shared" ca="1" si="32"/>
        <v>#VALUE!</v>
      </c>
      <c r="T94" s="178" t="e">
        <f t="shared" ca="1" si="33"/>
        <v>#VALUE!</v>
      </c>
      <c r="U94" s="178" t="e">
        <f t="shared" ca="1" si="26"/>
        <v>#VALUE!</v>
      </c>
      <c r="V94" s="183" t="e">
        <f t="shared" ca="1" si="27"/>
        <v>#VALUE!</v>
      </c>
      <c r="W94" s="184" t="e">
        <f t="shared" ca="1" si="28"/>
        <v>#VALUE!</v>
      </c>
    </row>
    <row r="95" spans="1:23" hidden="1" x14ac:dyDescent="0.25">
      <c r="A95" s="179" t="str">
        <f t="shared" si="34"/>
        <v/>
      </c>
      <c r="B95" s="173" t="e">
        <f t="shared" ca="1" si="29"/>
        <v>#VALUE!</v>
      </c>
      <c r="C95" s="173" t="e">
        <f t="shared" ca="1" si="30"/>
        <v>#VALUE!</v>
      </c>
      <c r="D95" s="179" t="str">
        <f t="shared" si="21"/>
        <v/>
      </c>
      <c r="E95" s="174" t="str">
        <f t="shared" si="22"/>
        <v/>
      </c>
      <c r="F95" s="174" t="str">
        <f>IF(AND(A94="",A96=""),"",IF(A95="",ROUND(SUM($F$25:F94),2),IF(A95=$D$8,$E$24-ROUND(SUM($F$25:F94),2),ROUND($E$24/$D$8,2))))</f>
        <v/>
      </c>
      <c r="G95" s="156" t="str">
        <f>IF(A94=$D$8,ROUND(SUM($G$25:G94),2),IF(A95&gt;$F$8,"",IF(T95&lt;&gt;T94,ROUND(SUM(V95*$F$9*E94/T95,W95*$F$9*E94/T94),2),ROUND(E94*$F$9*D95/T94,2))))</f>
        <v/>
      </c>
      <c r="H95" s="174" t="str">
        <f>IF(A94=$D$8,SUM($H$25:H94),IF(A94&gt;$D$8,"",F95+G95))</f>
        <v/>
      </c>
      <c r="I95" s="185" t="str">
        <f t="shared" si="23"/>
        <v/>
      </c>
      <c r="J95" s="185" t="str">
        <f t="shared" si="24"/>
        <v/>
      </c>
      <c r="K95" s="185"/>
      <c r="L95" s="185" t="str">
        <f t="shared" si="25"/>
        <v/>
      </c>
      <c r="M95" s="174" t="str">
        <f t="shared" si="19"/>
        <v/>
      </c>
      <c r="N95" s="174" t="str">
        <f t="shared" si="36"/>
        <v/>
      </c>
      <c r="O95" s="174"/>
      <c r="P95" s="181" t="str">
        <f>IF(A94=$D$8,XIRR(R$24:R94,C$24:C94),"")</f>
        <v/>
      </c>
      <c r="Q95" s="185" t="str">
        <f t="shared" si="35"/>
        <v/>
      </c>
      <c r="R95" s="177">
        <f t="shared" si="31"/>
        <v>0</v>
      </c>
      <c r="S95" s="178" t="e">
        <f t="shared" ca="1" si="32"/>
        <v>#VALUE!</v>
      </c>
      <c r="T95" s="178" t="e">
        <f t="shared" ca="1" si="33"/>
        <v>#VALUE!</v>
      </c>
      <c r="U95" s="178" t="e">
        <f t="shared" ca="1" si="26"/>
        <v>#VALUE!</v>
      </c>
      <c r="V95" s="183" t="e">
        <f t="shared" ca="1" si="27"/>
        <v>#VALUE!</v>
      </c>
      <c r="W95" s="184" t="e">
        <f t="shared" ca="1" si="28"/>
        <v>#VALUE!</v>
      </c>
    </row>
    <row r="96" spans="1:23" hidden="1" x14ac:dyDescent="0.25">
      <c r="A96" s="179" t="str">
        <f t="shared" si="34"/>
        <v/>
      </c>
      <c r="B96" s="173" t="e">
        <f t="shared" ca="1" si="29"/>
        <v>#VALUE!</v>
      </c>
      <c r="C96" s="173" t="e">
        <f t="shared" ca="1" si="30"/>
        <v>#VALUE!</v>
      </c>
      <c r="D96" s="179" t="str">
        <f t="shared" si="21"/>
        <v/>
      </c>
      <c r="E96" s="174" t="str">
        <f t="shared" si="22"/>
        <v/>
      </c>
      <c r="F96" s="174" t="str">
        <f>IF(AND(A95="",A97=""),"",IF(A96="",ROUND(SUM($F$25:F95),2),IF(A96=$D$8,$E$24-ROUND(SUM($F$25:F95),2),ROUND($E$24/$D$8,2))))</f>
        <v/>
      </c>
      <c r="G96" s="156" t="str">
        <f>IF(A95=$D$8,ROUND(SUM($G$25:G95),2),IF(A96&gt;$F$8,"",IF(T96&lt;&gt;T95,ROUND(SUM(V96*$F$9*E95/T96,W96*$F$9*E95/T95),2),ROUND(E95*$F$9*D96/T95,2))))</f>
        <v/>
      </c>
      <c r="H96" s="174" t="str">
        <f>IF(A95=$D$8,SUM($H$25:H95),IF(A95&gt;$D$8,"",F96+G96))</f>
        <v/>
      </c>
      <c r="I96" s="185" t="str">
        <f t="shared" si="23"/>
        <v/>
      </c>
      <c r="J96" s="185" t="str">
        <f t="shared" si="24"/>
        <v/>
      </c>
      <c r="K96" s="185"/>
      <c r="L96" s="185" t="str">
        <f t="shared" si="25"/>
        <v/>
      </c>
      <c r="M96" s="174" t="str">
        <f t="shared" ref="M96:M159" si="37">IF(A95=$D$8,$M$24,"")</f>
        <v/>
      </c>
      <c r="N96" s="174" t="str">
        <f t="shared" si="36"/>
        <v/>
      </c>
      <c r="O96" s="174"/>
      <c r="P96" s="181" t="str">
        <f>IF(A95=$D$8,XIRR(R$24:R95,C$24:C95),"")</f>
        <v/>
      </c>
      <c r="Q96" s="185" t="str">
        <f t="shared" si="35"/>
        <v/>
      </c>
      <c r="R96" s="177">
        <f t="shared" si="31"/>
        <v>0</v>
      </c>
      <c r="S96" s="178" t="e">
        <f t="shared" ca="1" si="32"/>
        <v>#VALUE!</v>
      </c>
      <c r="T96" s="178" t="e">
        <f t="shared" ca="1" si="33"/>
        <v>#VALUE!</v>
      </c>
      <c r="U96" s="178" t="e">
        <f t="shared" ca="1" si="26"/>
        <v>#VALUE!</v>
      </c>
      <c r="V96" s="183" t="e">
        <f t="shared" ca="1" si="27"/>
        <v>#VALUE!</v>
      </c>
      <c r="W96" s="184" t="e">
        <f t="shared" ca="1" si="28"/>
        <v>#VALUE!</v>
      </c>
    </row>
    <row r="97" spans="1:26" hidden="1" x14ac:dyDescent="0.25">
      <c r="A97" s="179" t="str">
        <f t="shared" si="34"/>
        <v/>
      </c>
      <c r="B97" s="173" t="e">
        <f t="shared" ca="1" si="29"/>
        <v>#VALUE!</v>
      </c>
      <c r="C97" s="173" t="e">
        <f t="shared" ca="1" si="30"/>
        <v>#VALUE!</v>
      </c>
      <c r="D97" s="179" t="str">
        <f t="shared" si="21"/>
        <v/>
      </c>
      <c r="E97" s="174" t="str">
        <f t="shared" si="22"/>
        <v/>
      </c>
      <c r="F97" s="174" t="str">
        <f>IF(AND(A96="",A98=""),"",IF(A97="",ROUND(SUM($F$25:F96),2),IF(A97=$D$8,$E$24-ROUND(SUM($F$25:F96),2),ROUND($E$24/$D$8,2))))</f>
        <v/>
      </c>
      <c r="G97" s="156" t="str">
        <f>IF(A96=$D$8,ROUND(SUM($G$25:G96),2),IF(A97&gt;$F$8,"",IF(T97&lt;&gt;T96,ROUND(SUM(V97*$F$9*E96/T97,W97*$F$9*E96/T96),2),ROUND(E96*$F$9*D97/T96,2))))</f>
        <v/>
      </c>
      <c r="H97" s="174" t="str">
        <f>IF(A96=$D$8,SUM($H$25:H96),IF(A96&gt;$D$8,"",F97+G97))</f>
        <v/>
      </c>
      <c r="I97" s="185" t="str">
        <f t="shared" si="23"/>
        <v/>
      </c>
      <c r="J97" s="185" t="str">
        <f t="shared" si="24"/>
        <v/>
      </c>
      <c r="K97" s="185" t="str">
        <f>IF($F$8&gt;72,($O$8+$O$10),IF($A$96=$F$8,$K$37+$K$24+$K$49+$K$61+$K$73+$K$85,""))</f>
        <v/>
      </c>
      <c r="L97" s="185" t="str">
        <f t="shared" si="25"/>
        <v/>
      </c>
      <c r="M97" s="174" t="str">
        <f t="shared" si="37"/>
        <v/>
      </c>
      <c r="N97" s="185" t="str">
        <f>IF($F$8&gt;72,($N$14),IF(A96=$F$8,N85+N73+N61+N49+N37+N24,""))</f>
        <v/>
      </c>
      <c r="O97" s="174"/>
      <c r="P97" s="181" t="str">
        <f>IF(A96=$D$8,XIRR(R$24:R96,C$24:C96),"")</f>
        <v/>
      </c>
      <c r="Q97" s="185" t="str">
        <f t="shared" si="35"/>
        <v/>
      </c>
      <c r="R97" s="177">
        <f t="shared" si="31"/>
        <v>0</v>
      </c>
      <c r="S97" s="178" t="e">
        <f t="shared" ca="1" si="32"/>
        <v>#VALUE!</v>
      </c>
      <c r="T97" s="178" t="e">
        <f t="shared" ca="1" si="33"/>
        <v>#VALUE!</v>
      </c>
      <c r="U97" s="178" t="e">
        <f t="shared" ca="1" si="26"/>
        <v>#VALUE!</v>
      </c>
      <c r="V97" s="183" t="e">
        <f t="shared" ca="1" si="27"/>
        <v>#VALUE!</v>
      </c>
      <c r="W97" s="184" t="e">
        <f t="shared" ca="1" si="28"/>
        <v>#VALUE!</v>
      </c>
    </row>
    <row r="98" spans="1:26" hidden="1" x14ac:dyDescent="0.25">
      <c r="A98" s="179" t="str">
        <f t="shared" si="34"/>
        <v/>
      </c>
      <c r="B98" s="173" t="e">
        <f t="shared" ca="1" si="29"/>
        <v>#VALUE!</v>
      </c>
      <c r="C98" s="173" t="e">
        <f t="shared" ca="1" si="30"/>
        <v>#VALUE!</v>
      </c>
      <c r="D98" s="179" t="str">
        <f t="shared" si="21"/>
        <v/>
      </c>
      <c r="E98" s="174" t="str">
        <f t="shared" si="22"/>
        <v/>
      </c>
      <c r="F98" s="174" t="str">
        <f>IF(AND(A97="",A99=""),"",IF(A98="",ROUND(SUM($F$25:F97),2),IF(A98=$D$8,$E$24-ROUND(SUM($F$25:F97),2),ROUND($E$24/$D$8,2))))</f>
        <v/>
      </c>
      <c r="G98" s="156" t="str">
        <f>IF(A97=$D$8,ROUND(SUM($G$25:G97),2),IF(A98&gt;$F$8,"",IF(T98&lt;&gt;T97,ROUND(SUM(V98*$F$9*E97/T98,W98*$F$9*E97/T97),2),ROUND(E97*$F$9*D98/T97,2))))</f>
        <v/>
      </c>
      <c r="H98" s="174" t="str">
        <f>IF(A97=$D$8,SUM($H$25:H97),IF(A97&gt;$D$8,"",F98+G98))</f>
        <v/>
      </c>
      <c r="I98" s="185" t="str">
        <f t="shared" si="23"/>
        <v/>
      </c>
      <c r="J98" s="185" t="str">
        <f t="shared" si="24"/>
        <v/>
      </c>
      <c r="K98" s="185"/>
      <c r="L98" s="185" t="str">
        <f t="shared" si="25"/>
        <v/>
      </c>
      <c r="M98" s="174" t="str">
        <f t="shared" si="37"/>
        <v/>
      </c>
      <c r="N98" s="174" t="str">
        <f t="shared" si="36"/>
        <v/>
      </c>
      <c r="O98" s="174"/>
      <c r="P98" s="181" t="str">
        <f>IF(A97=$D$8,XIRR(R$24:R97,C$24:C97),"")</f>
        <v/>
      </c>
      <c r="Q98" s="185" t="str">
        <f t="shared" si="35"/>
        <v/>
      </c>
      <c r="R98" s="177">
        <f t="shared" si="31"/>
        <v>0</v>
      </c>
      <c r="S98" s="178" t="e">
        <f t="shared" ca="1" si="32"/>
        <v>#VALUE!</v>
      </c>
      <c r="T98" s="178" t="e">
        <f t="shared" ca="1" si="33"/>
        <v>#VALUE!</v>
      </c>
      <c r="U98" s="178" t="e">
        <f t="shared" ca="1" si="26"/>
        <v>#VALUE!</v>
      </c>
      <c r="V98" s="183" t="e">
        <f t="shared" ca="1" si="27"/>
        <v>#VALUE!</v>
      </c>
      <c r="W98" s="184" t="e">
        <f t="shared" ca="1" si="28"/>
        <v>#VALUE!</v>
      </c>
    </row>
    <row r="99" spans="1:26" hidden="1" x14ac:dyDescent="0.25">
      <c r="A99" s="179" t="str">
        <f t="shared" si="34"/>
        <v/>
      </c>
      <c r="B99" s="173" t="e">
        <f t="shared" ca="1" si="29"/>
        <v>#VALUE!</v>
      </c>
      <c r="C99" s="173" t="e">
        <f t="shared" ca="1" si="30"/>
        <v>#VALUE!</v>
      </c>
      <c r="D99" s="179" t="str">
        <f t="shared" si="21"/>
        <v/>
      </c>
      <c r="E99" s="174" t="str">
        <f t="shared" si="22"/>
        <v/>
      </c>
      <c r="F99" s="174" t="str">
        <f>IF(AND(A98="",A100=""),"",IF(A99="",ROUND(SUM($F$25:F98),2),IF(A99=$D$8,$E$24-ROUND(SUM($F$25:F98),2),ROUND($E$24/$D$8,2))))</f>
        <v/>
      </c>
      <c r="G99" s="156" t="str">
        <f>IF(A98=$D$8,ROUND(SUM($G$25:G98),2),IF(A99&gt;$F$8,"",IF(T99&lt;&gt;T98,ROUND(SUM(V99*$F$9*E98/T99,W99*$F$9*E98/T98),2),ROUND(E98*$F$9*D99/T98,2))))</f>
        <v/>
      </c>
      <c r="H99" s="174" t="str">
        <f>IF(A98=$D$8,SUM($H$25:H98),IF(A98&gt;$D$8,"",F99+G99))</f>
        <v/>
      </c>
      <c r="I99" s="185" t="str">
        <f t="shared" si="23"/>
        <v/>
      </c>
      <c r="J99" s="185" t="str">
        <f t="shared" si="24"/>
        <v/>
      </c>
      <c r="K99" s="185"/>
      <c r="L99" s="185" t="str">
        <f t="shared" si="25"/>
        <v/>
      </c>
      <c r="M99" s="174" t="str">
        <f t="shared" si="37"/>
        <v/>
      </c>
      <c r="N99" s="174" t="str">
        <f t="shared" si="36"/>
        <v/>
      </c>
      <c r="O99" s="174"/>
      <c r="P99" s="181" t="str">
        <f>IF(A98=$D$8,XIRR(R$24:R98,C$24:C98),"")</f>
        <v/>
      </c>
      <c r="Q99" s="185" t="str">
        <f t="shared" si="35"/>
        <v/>
      </c>
      <c r="R99" s="177">
        <f t="shared" si="31"/>
        <v>0</v>
      </c>
      <c r="S99" s="178" t="e">
        <f t="shared" ca="1" si="32"/>
        <v>#VALUE!</v>
      </c>
      <c r="T99" s="178" t="e">
        <f t="shared" ca="1" si="33"/>
        <v>#VALUE!</v>
      </c>
      <c r="U99" s="178" t="e">
        <f t="shared" ca="1" si="26"/>
        <v>#VALUE!</v>
      </c>
      <c r="V99" s="183" t="e">
        <f t="shared" ca="1" si="27"/>
        <v>#VALUE!</v>
      </c>
      <c r="W99" s="184" t="e">
        <f t="shared" ca="1" si="28"/>
        <v>#VALUE!</v>
      </c>
    </row>
    <row r="100" spans="1:26" hidden="1" x14ac:dyDescent="0.25">
      <c r="A100" s="179" t="str">
        <f t="shared" si="34"/>
        <v/>
      </c>
      <c r="B100" s="173" t="e">
        <f t="shared" ca="1" si="29"/>
        <v>#VALUE!</v>
      </c>
      <c r="C100" s="173" t="e">
        <f t="shared" ca="1" si="30"/>
        <v>#VALUE!</v>
      </c>
      <c r="D100" s="179" t="str">
        <f t="shared" si="21"/>
        <v/>
      </c>
      <c r="E100" s="174" t="str">
        <f t="shared" si="22"/>
        <v/>
      </c>
      <c r="F100" s="174" t="str">
        <f>IF(AND(A99="",A101=""),"",IF(A100="",ROUND(SUM($F$25:F99),2),IF(A100=$D$8,$E$24-ROUND(SUM($F$25:F99),2),ROUND($E$24/$D$8,2))))</f>
        <v/>
      </c>
      <c r="G100" s="156" t="str">
        <f>IF(A99=$D$8,ROUND(SUM($G$25:G99),2),IF(A100&gt;$F$8,"",IF(T100&lt;&gt;T99,ROUND(SUM(V100*$F$9*E99/T100,W100*$F$9*E99/T99),2),ROUND(E99*$F$9*D100/T99,2))))</f>
        <v/>
      </c>
      <c r="H100" s="174" t="str">
        <f>IF(A99=$D$8,SUM($H$25:H99),IF(A99&gt;$D$8,"",F100+G100))</f>
        <v/>
      </c>
      <c r="I100" s="185" t="str">
        <f t="shared" si="23"/>
        <v/>
      </c>
      <c r="J100" s="185" t="str">
        <f t="shared" si="24"/>
        <v/>
      </c>
      <c r="K100" s="185"/>
      <c r="L100" s="185" t="str">
        <f t="shared" si="25"/>
        <v/>
      </c>
      <c r="M100" s="174" t="str">
        <f t="shared" si="37"/>
        <v/>
      </c>
      <c r="N100" s="174" t="str">
        <f t="shared" si="36"/>
        <v/>
      </c>
      <c r="O100" s="174"/>
      <c r="P100" s="181" t="str">
        <f>IF(A99=$D$8,XIRR(R$24:R99,C$24:C99),"")</f>
        <v/>
      </c>
      <c r="Q100" s="185" t="str">
        <f t="shared" si="35"/>
        <v/>
      </c>
      <c r="R100" s="177">
        <f t="shared" si="31"/>
        <v>0</v>
      </c>
      <c r="S100" s="178" t="e">
        <f t="shared" ca="1" si="32"/>
        <v>#VALUE!</v>
      </c>
      <c r="T100" s="178" t="e">
        <f t="shared" ca="1" si="33"/>
        <v>#VALUE!</v>
      </c>
      <c r="U100" s="178" t="e">
        <f t="shared" ca="1" si="26"/>
        <v>#VALUE!</v>
      </c>
      <c r="V100" s="183" t="e">
        <f t="shared" ca="1" si="27"/>
        <v>#VALUE!</v>
      </c>
      <c r="W100" s="184" t="e">
        <f t="shared" ca="1" si="28"/>
        <v>#VALUE!</v>
      </c>
    </row>
    <row r="101" spans="1:26" hidden="1" x14ac:dyDescent="0.25">
      <c r="A101" s="179" t="str">
        <f t="shared" si="34"/>
        <v/>
      </c>
      <c r="B101" s="173" t="e">
        <f t="shared" ca="1" si="29"/>
        <v>#VALUE!</v>
      </c>
      <c r="C101" s="173" t="e">
        <f t="shared" ca="1" si="30"/>
        <v>#VALUE!</v>
      </c>
      <c r="D101" s="179" t="str">
        <f t="shared" si="21"/>
        <v/>
      </c>
      <c r="E101" s="174" t="str">
        <f t="shared" si="22"/>
        <v/>
      </c>
      <c r="F101" s="174" t="str">
        <f>IF(AND(A100="",A102=""),"",IF(A101="",ROUND(SUM($F$25:F100),2),IF(A101=$D$8,$E$24-ROUND(SUM($F$25:F100),2),ROUND($E$24/$D$8,2))))</f>
        <v/>
      </c>
      <c r="G101" s="156" t="str">
        <f>IF(A100=$D$8,ROUND(SUM($G$25:G100),2),IF(A101&gt;$F$8,"",IF(T101&lt;&gt;T100,ROUND(SUM(V101*$F$9*E100/T101,W101*$F$9*E100/T100),2),ROUND(E100*$F$9*D101/T100,2))))</f>
        <v/>
      </c>
      <c r="H101" s="174" t="str">
        <f>IF(A100=$D$8,SUM($H$25:H100),IF(A100&gt;$D$8,"",F101+G101))</f>
        <v/>
      </c>
      <c r="I101" s="185" t="str">
        <f t="shared" si="23"/>
        <v/>
      </c>
      <c r="J101" s="185" t="str">
        <f t="shared" si="24"/>
        <v/>
      </c>
      <c r="K101" s="185"/>
      <c r="L101" s="185" t="str">
        <f t="shared" si="25"/>
        <v/>
      </c>
      <c r="M101" s="174" t="str">
        <f t="shared" si="37"/>
        <v/>
      </c>
      <c r="N101" s="174" t="str">
        <f t="shared" si="36"/>
        <v/>
      </c>
      <c r="O101" s="174"/>
      <c r="P101" s="181" t="str">
        <f>IF(A100=$D$8,XIRR(R$24:R100,C$24:C100),"")</f>
        <v/>
      </c>
      <c r="Q101" s="185" t="str">
        <f t="shared" si="35"/>
        <v/>
      </c>
      <c r="R101" s="177">
        <f t="shared" si="31"/>
        <v>0</v>
      </c>
      <c r="S101" s="178" t="e">
        <f t="shared" ca="1" si="32"/>
        <v>#VALUE!</v>
      </c>
      <c r="T101" s="178" t="e">
        <f t="shared" ca="1" si="33"/>
        <v>#VALUE!</v>
      </c>
      <c r="U101" s="178" t="e">
        <f t="shared" ca="1" si="26"/>
        <v>#VALUE!</v>
      </c>
      <c r="V101" s="183" t="e">
        <f t="shared" ca="1" si="27"/>
        <v>#VALUE!</v>
      </c>
      <c r="W101" s="184" t="e">
        <f t="shared" ca="1" si="28"/>
        <v>#VALUE!</v>
      </c>
    </row>
    <row r="102" spans="1:26" hidden="1" x14ac:dyDescent="0.25">
      <c r="A102" s="179" t="str">
        <f t="shared" si="34"/>
        <v/>
      </c>
      <c r="B102" s="173" t="e">
        <f t="shared" ca="1" si="29"/>
        <v>#VALUE!</v>
      </c>
      <c r="C102" s="173" t="e">
        <f t="shared" ca="1" si="30"/>
        <v>#VALUE!</v>
      </c>
      <c r="D102" s="179" t="str">
        <f t="shared" ref="D102:D165" si="38">IF(A102&gt;$D$8,"",C102-C101)</f>
        <v/>
      </c>
      <c r="E102" s="174" t="str">
        <f t="shared" ref="E102:E165" si="39">IF(A102&gt;$D$8,"",E101-F102)</f>
        <v/>
      </c>
      <c r="F102" s="174" t="str">
        <f>IF(AND(A101="",A103=""),"",IF(A102="",ROUND(SUM($F$25:F101),2),IF(A102=$D$8,$E$24-ROUND(SUM($F$25:F101),2),ROUND($E$24/$D$8,2))))</f>
        <v/>
      </c>
      <c r="G102" s="156" t="str">
        <f>IF(A101=$D$8,ROUND(SUM($G$25:G101),2),IF(A102&gt;$F$8,"",IF(T102&lt;&gt;T101,ROUND(SUM(V102*$F$9*E101/T102,W102*$F$9*E101/T101),2),ROUND(E101*$F$9*D102/T101,2))))</f>
        <v/>
      </c>
      <c r="H102" s="174" t="str">
        <f>IF(A101=$D$8,SUM($H$25:H101),IF(A101&gt;$D$8,"",F102+G102))</f>
        <v/>
      </c>
      <c r="I102" s="185" t="str">
        <f t="shared" ref="I102:I165" si="40">IF(A101=$F$8,$I$24,"")</f>
        <v/>
      </c>
      <c r="J102" s="185" t="str">
        <f t="shared" ref="J102:J165" si="41">IF(A101=$F$8,$J$24,"")</f>
        <v/>
      </c>
      <c r="K102" s="185"/>
      <c r="L102" s="185" t="str">
        <f t="shared" ref="L102:L165" si="42">IF(A101=$F$8,$L$24,"")</f>
        <v/>
      </c>
      <c r="M102" s="174" t="str">
        <f t="shared" si="37"/>
        <v/>
      </c>
      <c r="N102" s="174" t="str">
        <f t="shared" si="36"/>
        <v/>
      </c>
      <c r="O102" s="174"/>
      <c r="P102" s="181" t="str">
        <f>IF(A101=$D$8,XIRR(R$24:R101,C$24:C101),"")</f>
        <v/>
      </c>
      <c r="Q102" s="185" t="str">
        <f t="shared" si="35"/>
        <v/>
      </c>
      <c r="R102" s="177">
        <f t="shared" si="31"/>
        <v>0</v>
      </c>
      <c r="S102" s="178" t="e">
        <f t="shared" ca="1" si="32"/>
        <v>#VALUE!</v>
      </c>
      <c r="T102" s="178" t="e">
        <f t="shared" ca="1" si="33"/>
        <v>#VALUE!</v>
      </c>
      <c r="U102" s="178" t="e">
        <f t="shared" ca="1" si="26"/>
        <v>#VALUE!</v>
      </c>
      <c r="V102" s="183" t="e">
        <f t="shared" ca="1" si="27"/>
        <v>#VALUE!</v>
      </c>
      <c r="W102" s="184" t="e">
        <f t="shared" ca="1" si="28"/>
        <v>#VALUE!</v>
      </c>
    </row>
    <row r="103" spans="1:26" hidden="1" x14ac:dyDescent="0.25">
      <c r="A103" s="179" t="str">
        <f t="shared" si="34"/>
        <v/>
      </c>
      <c r="B103" s="173" t="e">
        <f t="shared" ca="1" si="29"/>
        <v>#VALUE!</v>
      </c>
      <c r="C103" s="173" t="e">
        <f t="shared" ca="1" si="30"/>
        <v>#VALUE!</v>
      </c>
      <c r="D103" s="179" t="str">
        <f t="shared" si="38"/>
        <v/>
      </c>
      <c r="E103" s="174" t="str">
        <f t="shared" si="39"/>
        <v/>
      </c>
      <c r="F103" s="174" t="str">
        <f>IF(AND(A102="",A104=""),"",IF(A103="",ROUND(SUM($F$25:F102),2),IF(A103=$D$8,$E$24-ROUND(SUM($F$25:F102),2),ROUND($E$24/$D$8,2))))</f>
        <v/>
      </c>
      <c r="G103" s="156" t="str">
        <f>IF(A102=$D$8,ROUND(SUM($G$25:G102),2),IF(A103&gt;$F$8,"",IF(T103&lt;&gt;T102,ROUND(SUM(V103*$F$9*E102/T103,W103*$F$9*E102/T102),2),ROUND(E102*$F$9*D103/T102,2))))</f>
        <v/>
      </c>
      <c r="H103" s="174" t="str">
        <f>IF(A102=$D$8,SUM($H$25:H102),IF(A102&gt;$D$8,"",F103+G103))</f>
        <v/>
      </c>
      <c r="I103" s="185" t="str">
        <f t="shared" si="40"/>
        <v/>
      </c>
      <c r="J103" s="185" t="str">
        <f t="shared" si="41"/>
        <v/>
      </c>
      <c r="K103" s="185"/>
      <c r="L103" s="185" t="str">
        <f t="shared" si="42"/>
        <v/>
      </c>
      <c r="M103" s="174" t="str">
        <f t="shared" si="37"/>
        <v/>
      </c>
      <c r="N103" s="174" t="str">
        <f t="shared" si="36"/>
        <v/>
      </c>
      <c r="O103" s="174"/>
      <c r="P103" s="181" t="str">
        <f>IF(A102=$D$8,XIRR(R$24:R102,C$24:C102),"")</f>
        <v/>
      </c>
      <c r="Q103" s="185" t="str">
        <f t="shared" si="35"/>
        <v/>
      </c>
      <c r="R103" s="177">
        <f t="shared" si="31"/>
        <v>0</v>
      </c>
      <c r="S103" s="178" t="e">
        <f t="shared" ca="1" si="32"/>
        <v>#VALUE!</v>
      </c>
      <c r="T103" s="178" t="e">
        <f t="shared" ca="1" si="33"/>
        <v>#VALUE!</v>
      </c>
      <c r="U103" s="178" t="e">
        <f t="shared" ca="1" si="26"/>
        <v>#VALUE!</v>
      </c>
      <c r="V103" s="183" t="e">
        <f t="shared" ca="1" si="27"/>
        <v>#VALUE!</v>
      </c>
      <c r="W103" s="184" t="e">
        <f t="shared" ca="1" si="28"/>
        <v>#VALUE!</v>
      </c>
    </row>
    <row r="104" spans="1:26" hidden="1" x14ac:dyDescent="0.25">
      <c r="A104" s="179" t="str">
        <f t="shared" si="34"/>
        <v/>
      </c>
      <c r="B104" s="173" t="e">
        <f t="shared" ca="1" si="29"/>
        <v>#VALUE!</v>
      </c>
      <c r="C104" s="173" t="e">
        <f t="shared" ca="1" si="30"/>
        <v>#VALUE!</v>
      </c>
      <c r="D104" s="179" t="str">
        <f t="shared" si="38"/>
        <v/>
      </c>
      <c r="E104" s="174" t="str">
        <f t="shared" si="39"/>
        <v/>
      </c>
      <c r="F104" s="174" t="str">
        <f>IF(AND(A103="",A105=""),"",IF(A104="",ROUND(SUM($F$25:F103),2),IF(A104=$D$8,$E$24-ROUND(SUM($F$25:F103),2),ROUND($E$24/$D$8,2))))</f>
        <v/>
      </c>
      <c r="G104" s="156" t="str">
        <f>IF(A103=$D$8,ROUND(SUM($G$25:G103),2),IF(A104&gt;$F$8,"",IF(T104&lt;&gt;T103,ROUND(SUM(V104*$F$9*E103/T104,W104*$F$9*E103/T103),2),ROUND(E103*$F$9*D104/T103,2))))</f>
        <v/>
      </c>
      <c r="H104" s="174" t="str">
        <f>IF(A103=$D$8,SUM($H$25:H103),IF(A103&gt;$D$8,"",F104+G104))</f>
        <v/>
      </c>
      <c r="I104" s="185" t="str">
        <f t="shared" si="40"/>
        <v/>
      </c>
      <c r="J104" s="185" t="str">
        <f t="shared" si="41"/>
        <v/>
      </c>
      <c r="K104" s="185"/>
      <c r="L104" s="185" t="str">
        <f t="shared" si="42"/>
        <v/>
      </c>
      <c r="M104" s="174" t="str">
        <f t="shared" si="37"/>
        <v/>
      </c>
      <c r="N104" s="174" t="str">
        <f t="shared" si="36"/>
        <v/>
      </c>
      <c r="O104" s="174"/>
      <c r="P104" s="181" t="str">
        <f>IF(A103=$D$8,XIRR(R$24:R103,C$24:C103),"")</f>
        <v/>
      </c>
      <c r="Q104" s="185" t="str">
        <f t="shared" si="35"/>
        <v/>
      </c>
      <c r="R104" s="177">
        <f t="shared" si="31"/>
        <v>0</v>
      </c>
      <c r="S104" s="178" t="e">
        <f t="shared" ca="1" si="32"/>
        <v>#VALUE!</v>
      </c>
      <c r="T104" s="178" t="e">
        <f t="shared" ca="1" si="33"/>
        <v>#VALUE!</v>
      </c>
      <c r="U104" s="178" t="e">
        <f t="shared" ca="1" si="26"/>
        <v>#VALUE!</v>
      </c>
      <c r="V104" s="183" t="e">
        <f t="shared" ca="1" si="27"/>
        <v>#VALUE!</v>
      </c>
      <c r="W104" s="184" t="e">
        <f t="shared" ca="1" si="28"/>
        <v>#VALUE!</v>
      </c>
    </row>
    <row r="105" spans="1:26" hidden="1" x14ac:dyDescent="0.25">
      <c r="A105" s="179" t="str">
        <f t="shared" si="34"/>
        <v/>
      </c>
      <c r="B105" s="173" t="e">
        <f t="shared" ca="1" si="29"/>
        <v>#VALUE!</v>
      </c>
      <c r="C105" s="173" t="e">
        <f t="shared" ca="1" si="30"/>
        <v>#VALUE!</v>
      </c>
      <c r="D105" s="179" t="str">
        <f t="shared" si="38"/>
        <v/>
      </c>
      <c r="E105" s="174" t="str">
        <f t="shared" si="39"/>
        <v/>
      </c>
      <c r="F105" s="174" t="str">
        <f>IF(AND(A104="",A106=""),"",IF(A105="",ROUND(SUM($F$25:F104),2),IF(A105=$D$8,$E$24-ROUND(SUM($F$25:F104),2),ROUND($E$24/$D$8,2))))</f>
        <v/>
      </c>
      <c r="G105" s="156" t="str">
        <f>IF(A104=$D$8,ROUND(SUM($G$25:G104),2),IF(A105&gt;$F$8,"",IF(T105&lt;&gt;T104,ROUND(SUM(V105*$F$9*E104/T105,W105*$F$9*E104/T104),2),ROUND(E104*$F$9*D105/T104,2))))</f>
        <v/>
      </c>
      <c r="H105" s="174" t="str">
        <f>IF(A104=$D$8,SUM($H$25:H104),IF(A104&gt;$D$8,"",F105+G105))</f>
        <v/>
      </c>
      <c r="I105" s="185" t="str">
        <f t="shared" si="40"/>
        <v/>
      </c>
      <c r="J105" s="185" t="str">
        <f t="shared" si="41"/>
        <v/>
      </c>
      <c r="K105" s="185"/>
      <c r="L105" s="185" t="str">
        <f t="shared" si="42"/>
        <v/>
      </c>
      <c r="M105" s="174" t="str">
        <f t="shared" si="37"/>
        <v/>
      </c>
      <c r="N105" s="174" t="str">
        <f t="shared" si="36"/>
        <v/>
      </c>
      <c r="O105" s="174"/>
      <c r="P105" s="181" t="str">
        <f>IF(A104=$D$8,XIRR(R$24:R104,C$24:C104),"")</f>
        <v/>
      </c>
      <c r="Q105" s="185" t="str">
        <f t="shared" si="35"/>
        <v/>
      </c>
      <c r="R105" s="177">
        <f t="shared" si="31"/>
        <v>0</v>
      </c>
      <c r="S105" s="178" t="e">
        <f t="shared" ca="1" si="32"/>
        <v>#VALUE!</v>
      </c>
      <c r="T105" s="178" t="e">
        <f t="shared" ca="1" si="33"/>
        <v>#VALUE!</v>
      </c>
      <c r="U105" s="178" t="e">
        <f t="shared" ca="1" si="26"/>
        <v>#VALUE!</v>
      </c>
      <c r="V105" s="183" t="e">
        <f t="shared" ca="1" si="27"/>
        <v>#VALUE!</v>
      </c>
      <c r="W105" s="184" t="e">
        <f t="shared" ca="1" si="28"/>
        <v>#VALUE!</v>
      </c>
    </row>
    <row r="106" spans="1:26" hidden="1" x14ac:dyDescent="0.25">
      <c r="A106" s="179" t="str">
        <f t="shared" si="34"/>
        <v/>
      </c>
      <c r="B106" s="173" t="e">
        <f t="shared" ca="1" si="29"/>
        <v>#VALUE!</v>
      </c>
      <c r="C106" s="173" t="e">
        <f t="shared" ca="1" si="30"/>
        <v>#VALUE!</v>
      </c>
      <c r="D106" s="179" t="str">
        <f t="shared" si="38"/>
        <v/>
      </c>
      <c r="E106" s="174" t="str">
        <f t="shared" si="39"/>
        <v/>
      </c>
      <c r="F106" s="174" t="str">
        <f>IF(AND(A105="",A107=""),"",IF(A106="",ROUND(SUM($F$25:F105),2),IF(A106=$D$8,$E$24-ROUND(SUM($F$25:F105),2),ROUND($E$24/$D$8,2))))</f>
        <v/>
      </c>
      <c r="G106" s="156" t="str">
        <f>IF(A105=$D$8,ROUND(SUM($G$25:G105),2),IF(A106&gt;$F$8,"",IF(T106&lt;&gt;T105,ROUND(SUM(V106*$F$9*E105/T106,W106*$F$9*E105/T105),2),ROUND(E105*$F$9*D106/T105,2))))</f>
        <v/>
      </c>
      <c r="H106" s="174" t="str">
        <f>IF(A105=$D$8,SUM($H$25:H105),IF(A105&gt;$D$8,"",F106+G106))</f>
        <v/>
      </c>
      <c r="I106" s="185" t="str">
        <f t="shared" si="40"/>
        <v/>
      </c>
      <c r="J106" s="185" t="str">
        <f t="shared" si="41"/>
        <v/>
      </c>
      <c r="K106" s="185"/>
      <c r="L106" s="185" t="str">
        <f t="shared" si="42"/>
        <v/>
      </c>
      <c r="M106" s="174" t="str">
        <f t="shared" si="37"/>
        <v/>
      </c>
      <c r="N106" s="174" t="str">
        <f t="shared" si="36"/>
        <v/>
      </c>
      <c r="O106" s="174"/>
      <c r="P106" s="181" t="str">
        <f>IF(A105=$D$8,XIRR(R$24:R105,C$24:C105),"")</f>
        <v/>
      </c>
      <c r="Q106" s="185" t="str">
        <f t="shared" si="35"/>
        <v/>
      </c>
      <c r="R106" s="177">
        <f t="shared" si="31"/>
        <v>0</v>
      </c>
      <c r="S106" s="178" t="e">
        <f t="shared" ca="1" si="32"/>
        <v>#VALUE!</v>
      </c>
      <c r="T106" s="178" t="e">
        <f t="shared" ca="1" si="33"/>
        <v>#VALUE!</v>
      </c>
      <c r="U106" s="178" t="e">
        <f t="shared" ca="1" si="26"/>
        <v>#VALUE!</v>
      </c>
      <c r="V106" s="183" t="e">
        <f t="shared" ca="1" si="27"/>
        <v>#VALUE!</v>
      </c>
      <c r="W106" s="184" t="e">
        <f t="shared" ca="1" si="28"/>
        <v>#VALUE!</v>
      </c>
    </row>
    <row r="107" spans="1:26" hidden="1" x14ac:dyDescent="0.25">
      <c r="A107" s="179" t="str">
        <f t="shared" si="34"/>
        <v/>
      </c>
      <c r="B107" s="173" t="e">
        <f t="shared" ca="1" si="29"/>
        <v>#VALUE!</v>
      </c>
      <c r="C107" s="173" t="e">
        <f t="shared" ca="1" si="30"/>
        <v>#VALUE!</v>
      </c>
      <c r="D107" s="179" t="str">
        <f t="shared" si="38"/>
        <v/>
      </c>
      <c r="E107" s="174" t="str">
        <f t="shared" si="39"/>
        <v/>
      </c>
      <c r="F107" s="174" t="str">
        <f>IF(AND(A106="",A108=""),"",IF(A107="",ROUND(SUM($F$25:F106),2),IF(A107=$D$8,$E$24-ROUND(SUM($F$25:F106),2),ROUND($E$24/$D$8,2))))</f>
        <v/>
      </c>
      <c r="G107" s="156" t="str">
        <f>IF(A106=$D$8,ROUND(SUM($G$25:G106),2),IF(A107&gt;$F$8,"",IF(T107&lt;&gt;T106,ROUND(SUM(V107*$F$9*E106/T107,W107*$F$9*E106/T106),2),ROUND(E106*$F$9*D107/T106,2))))</f>
        <v/>
      </c>
      <c r="H107" s="174" t="str">
        <f>IF(A106=$D$8,SUM($H$25:H106),IF(A106&gt;$D$8,"",F107+G107))</f>
        <v/>
      </c>
      <c r="I107" s="185" t="str">
        <f t="shared" si="40"/>
        <v/>
      </c>
      <c r="J107" s="185" t="str">
        <f t="shared" si="41"/>
        <v/>
      </c>
      <c r="K107" s="185"/>
      <c r="L107" s="185" t="str">
        <f t="shared" si="42"/>
        <v/>
      </c>
      <c r="M107" s="174" t="str">
        <f t="shared" si="37"/>
        <v/>
      </c>
      <c r="N107" s="174" t="str">
        <f t="shared" si="36"/>
        <v/>
      </c>
      <c r="O107" s="174"/>
      <c r="P107" s="181" t="str">
        <f>IF(A106=$D$8,XIRR(R$24:R106,C$24:C106),"")</f>
        <v/>
      </c>
      <c r="Q107" s="185" t="str">
        <f t="shared" si="35"/>
        <v/>
      </c>
      <c r="R107" s="177">
        <f t="shared" si="31"/>
        <v>0</v>
      </c>
      <c r="S107" s="178" t="e">
        <f t="shared" ca="1" si="32"/>
        <v>#VALUE!</v>
      </c>
      <c r="T107" s="178" t="e">
        <f t="shared" ca="1" si="33"/>
        <v>#VALUE!</v>
      </c>
      <c r="U107" s="178" t="e">
        <f t="shared" ca="1" si="26"/>
        <v>#VALUE!</v>
      </c>
      <c r="V107" s="183" t="e">
        <f t="shared" ca="1" si="27"/>
        <v>#VALUE!</v>
      </c>
      <c r="W107" s="184" t="e">
        <f t="shared" ca="1" si="28"/>
        <v>#VALUE!</v>
      </c>
      <c r="Z107" s="186"/>
    </row>
    <row r="108" spans="1:26" hidden="1" x14ac:dyDescent="0.25">
      <c r="A108" s="179" t="str">
        <f t="shared" si="34"/>
        <v/>
      </c>
      <c r="B108" s="173" t="e">
        <f t="shared" ca="1" si="29"/>
        <v>#VALUE!</v>
      </c>
      <c r="C108" s="173" t="e">
        <f ca="1">IF(B108=$D$10,B108-1,(IF(B108&gt;$D$10," ",B108)))</f>
        <v>#VALUE!</v>
      </c>
      <c r="D108" s="179" t="str">
        <f t="shared" si="38"/>
        <v/>
      </c>
      <c r="E108" s="174" t="str">
        <f t="shared" si="39"/>
        <v/>
      </c>
      <c r="F108" s="174" t="str">
        <f>IF(AND(A107="",A109=""),"",IF(A108="",ROUND(SUM($F$25:F107),2),IF(A108=$D$8,$E$24-ROUND(SUM($F$25:F107),2),ROUND($E$24/$D$8,2))))</f>
        <v/>
      </c>
      <c r="G108" s="156" t="str">
        <f>IF(A107=$D$8,ROUND(SUM($G$25:G107),2),IF(A108&gt;$F$8,"",IF(T108&lt;&gt;T107,ROUND(SUM(V108*$F$9*E107/T108,W108*$F$9*E107/T107),2),ROUND(E107*$F$9*D108/T107,2))))</f>
        <v/>
      </c>
      <c r="H108" s="174" t="str">
        <f>IF(A107=$D$8,SUM($H$25:H107),IF(A107&gt;$D$8,"",F108+G108))</f>
        <v/>
      </c>
      <c r="I108" s="185" t="str">
        <f t="shared" si="40"/>
        <v/>
      </c>
      <c r="J108" s="185" t="str">
        <f t="shared" si="41"/>
        <v/>
      </c>
      <c r="K108" s="185"/>
      <c r="L108" s="185" t="str">
        <f t="shared" si="42"/>
        <v/>
      </c>
      <c r="M108" s="174" t="str">
        <f t="shared" si="37"/>
        <v/>
      </c>
      <c r="N108" s="174" t="str">
        <f t="shared" si="36"/>
        <v/>
      </c>
      <c r="O108" s="174"/>
      <c r="P108" s="181" t="str">
        <f>IF(A107=$D$8,XIRR(R$24:R107,C$24:C107),"")</f>
        <v/>
      </c>
      <c r="Q108" s="185" t="str">
        <f t="shared" si="35"/>
        <v/>
      </c>
      <c r="R108" s="177">
        <f t="shared" si="31"/>
        <v>0</v>
      </c>
      <c r="S108" s="178" t="e">
        <f t="shared" ca="1" si="32"/>
        <v>#VALUE!</v>
      </c>
      <c r="T108" s="178" t="e">
        <f t="shared" ca="1" si="33"/>
        <v>#VALUE!</v>
      </c>
      <c r="U108" s="178" t="e">
        <f t="shared" ca="1" si="26"/>
        <v>#VALUE!</v>
      </c>
      <c r="V108" s="183" t="e">
        <f t="shared" ca="1" si="27"/>
        <v>#VALUE!</v>
      </c>
      <c r="W108" s="184" t="e">
        <f t="shared" ca="1" si="28"/>
        <v>#VALUE!</v>
      </c>
    </row>
    <row r="109" spans="1:26" hidden="1" x14ac:dyDescent="0.25">
      <c r="A109" s="179" t="str">
        <f t="shared" si="34"/>
        <v/>
      </c>
      <c r="B109" s="173" t="e">
        <f t="shared" ca="1" si="29"/>
        <v>#VALUE!</v>
      </c>
      <c r="C109" s="173" t="e">
        <f t="shared" ca="1" si="30"/>
        <v>#VALUE!</v>
      </c>
      <c r="D109" s="179" t="str">
        <f t="shared" si="38"/>
        <v/>
      </c>
      <c r="E109" s="174" t="str">
        <f t="shared" si="39"/>
        <v/>
      </c>
      <c r="F109" s="174" t="str">
        <f>IF(AND(A108="",A110=""),"",IF(A109="",ROUND(SUM($F$25:F108),2),IF(A109=$D$8,$E$24-ROUND(SUM($F$25:F108),2),ROUND($E$24/$D$8,2))))</f>
        <v/>
      </c>
      <c r="G109" s="156" t="str">
        <f>IF(A108=$D$8,ROUND(SUM($G$25:G108),2),IF(A109&gt;$F$8,"",IF(T109&lt;&gt;T108,ROUND(SUM(V109*$F$9*E108/T109,W109*$F$9*E108/T108),2),ROUND(E108*$F$9*D109/T108,2))))</f>
        <v/>
      </c>
      <c r="H109" s="174" t="str">
        <f>IF(A108=$D$8,SUM($H$25:H108),IF(A108&gt;$D$8,"",F109+G109))</f>
        <v/>
      </c>
      <c r="I109" s="185" t="str">
        <f t="shared" si="40"/>
        <v/>
      </c>
      <c r="J109" s="185" t="str">
        <f t="shared" si="41"/>
        <v/>
      </c>
      <c r="K109" s="185" t="str">
        <f>IF($F$8&gt;84,($O$8+$O$10),IF($A$108=$F$8,$K$37+$K$24+$K$49+$K$61+$K$73+$K$85+$K$97,""))</f>
        <v/>
      </c>
      <c r="L109" s="185" t="str">
        <f t="shared" si="42"/>
        <v/>
      </c>
      <c r="M109" s="174" t="str">
        <f t="shared" si="37"/>
        <v/>
      </c>
      <c r="N109" s="185" t="str">
        <f>IF($F$8&gt;84,($N$14),IF(A108=$F$8,N97+N85+N73+N61+N49+N37+N24,""))</f>
        <v/>
      </c>
      <c r="O109" s="174"/>
      <c r="P109" s="181" t="str">
        <f>IF(A108=$D$8,XIRR(R$24:R108,C$24:C108),"")</f>
        <v/>
      </c>
      <c r="Q109" s="185" t="str">
        <f t="shared" si="35"/>
        <v/>
      </c>
      <c r="R109" s="177">
        <f t="shared" si="31"/>
        <v>0</v>
      </c>
      <c r="S109" s="178" t="e">
        <f t="shared" ca="1" si="32"/>
        <v>#VALUE!</v>
      </c>
      <c r="T109" s="178" t="e">
        <f t="shared" ca="1" si="33"/>
        <v>#VALUE!</v>
      </c>
      <c r="U109" s="178" t="e">
        <f t="shared" ref="U109:U172" ca="1" si="43">IF(C109="","",DAY(C109))</f>
        <v>#VALUE!</v>
      </c>
      <c r="V109" s="183" t="e">
        <f t="shared" ref="V109:V172" ca="1" si="44">U109-1</f>
        <v>#VALUE!</v>
      </c>
      <c r="W109" s="184" t="e">
        <f t="shared" ca="1" si="28"/>
        <v>#VALUE!</v>
      </c>
    </row>
    <row r="110" spans="1:26" hidden="1" x14ac:dyDescent="0.25">
      <c r="A110" s="179" t="str">
        <f t="shared" si="34"/>
        <v/>
      </c>
      <c r="B110" s="173" t="e">
        <f t="shared" ca="1" si="29"/>
        <v>#VALUE!</v>
      </c>
      <c r="C110" s="173" t="e">
        <f t="shared" ca="1" si="30"/>
        <v>#VALUE!</v>
      </c>
      <c r="D110" s="179" t="str">
        <f t="shared" si="38"/>
        <v/>
      </c>
      <c r="E110" s="174" t="str">
        <f t="shared" si="39"/>
        <v/>
      </c>
      <c r="F110" s="174" t="str">
        <f>IF(AND(A109="",A111=""),"",IF(A110="",ROUND(SUM($F$25:F109),2),IF(A110=$D$8,$E$24-ROUND(SUM($F$25:F109),2),ROUND($E$24/$D$8,2))))</f>
        <v/>
      </c>
      <c r="G110" s="156" t="str">
        <f>IF(A109=$D$8,ROUND(SUM($G$25:G109),2),IF(A110&gt;$F$8,"",IF(T110&lt;&gt;T109,ROUND(SUM(V110*$F$9*E109/T110,W110*$F$9*E109/T109),2),ROUND(E109*$F$9*D110/T109,2))))</f>
        <v/>
      </c>
      <c r="H110" s="174" t="str">
        <f>IF(A109=$D$8,SUM($H$25:H109),IF(A109&gt;$D$8,"",F110+G110))</f>
        <v/>
      </c>
      <c r="I110" s="185" t="str">
        <f t="shared" si="40"/>
        <v/>
      </c>
      <c r="J110" s="185" t="str">
        <f t="shared" si="41"/>
        <v/>
      </c>
      <c r="K110" s="185"/>
      <c r="L110" s="185" t="str">
        <f t="shared" si="42"/>
        <v/>
      </c>
      <c r="M110" s="174" t="str">
        <f t="shared" si="37"/>
        <v/>
      </c>
      <c r="N110" s="174" t="str">
        <f t="shared" si="36"/>
        <v/>
      </c>
      <c r="O110" s="187"/>
      <c r="P110" s="181" t="str">
        <f>IF(A109=$D$8,XIRR(R$24:R109,C$24:C109),"")</f>
        <v/>
      </c>
      <c r="Q110" s="185" t="str">
        <f t="shared" si="35"/>
        <v/>
      </c>
      <c r="R110" s="177">
        <f t="shared" si="31"/>
        <v>0</v>
      </c>
      <c r="S110" s="178" t="e">
        <f t="shared" ca="1" si="32"/>
        <v>#VALUE!</v>
      </c>
      <c r="T110" s="178" t="e">
        <f t="shared" ca="1" si="33"/>
        <v>#VALUE!</v>
      </c>
      <c r="U110" s="178" t="e">
        <f t="shared" ca="1" si="43"/>
        <v>#VALUE!</v>
      </c>
      <c r="V110" s="183" t="e">
        <f t="shared" ca="1" si="44"/>
        <v>#VALUE!</v>
      </c>
      <c r="W110" s="184" t="e">
        <f t="shared" ca="1" si="28"/>
        <v>#VALUE!</v>
      </c>
    </row>
    <row r="111" spans="1:26" hidden="1" x14ac:dyDescent="0.25">
      <c r="A111" s="179" t="str">
        <f t="shared" si="34"/>
        <v/>
      </c>
      <c r="B111" s="173" t="e">
        <f t="shared" ca="1" si="29"/>
        <v>#VALUE!</v>
      </c>
      <c r="C111" s="173" t="e">
        <f t="shared" ca="1" si="30"/>
        <v>#VALUE!</v>
      </c>
      <c r="D111" s="179" t="str">
        <f t="shared" si="38"/>
        <v/>
      </c>
      <c r="E111" s="174" t="str">
        <f t="shared" si="39"/>
        <v/>
      </c>
      <c r="F111" s="174" t="str">
        <f>IF(AND(A110="",A112=""),"",IF(A111="",ROUND(SUM($F$25:F110),2),IF(A111=$D$8,$E$24-ROUND(SUM($F$25:F110),2),ROUND($E$24/$D$8,2))))</f>
        <v/>
      </c>
      <c r="G111" s="156" t="str">
        <f>IF(A110=$D$8,ROUND(SUM($G$25:G110),2),IF(A111&gt;$F$8,"",IF(T111&lt;&gt;T110,ROUND(SUM(V111*$F$9*E110/T111,W111*$F$9*E110/T110),2),ROUND(E110*$F$9*D111/T110,2))))</f>
        <v/>
      </c>
      <c r="H111" s="174" t="str">
        <f>IF(A110=$D$8,SUM($H$25:H110),IF(A110&gt;$D$8,"",F111+G111))</f>
        <v/>
      </c>
      <c r="I111" s="185" t="str">
        <f t="shared" si="40"/>
        <v/>
      </c>
      <c r="J111" s="185" t="str">
        <f t="shared" si="41"/>
        <v/>
      </c>
      <c r="K111" s="185"/>
      <c r="L111" s="185" t="str">
        <f t="shared" si="42"/>
        <v/>
      </c>
      <c r="M111" s="174" t="str">
        <f t="shared" si="37"/>
        <v/>
      </c>
      <c r="N111" s="174" t="str">
        <f t="shared" si="36"/>
        <v/>
      </c>
      <c r="O111" s="187"/>
      <c r="P111" s="181" t="str">
        <f>IF(A110=$D$8,XIRR(R$24:R110,C$24:C110),"")</f>
        <v/>
      </c>
      <c r="Q111" s="185" t="str">
        <f t="shared" si="35"/>
        <v/>
      </c>
      <c r="R111" s="177">
        <f t="shared" si="31"/>
        <v>0</v>
      </c>
      <c r="S111" s="178" t="e">
        <f t="shared" ca="1" si="32"/>
        <v>#VALUE!</v>
      </c>
      <c r="T111" s="178" t="e">
        <f t="shared" ca="1" si="33"/>
        <v>#VALUE!</v>
      </c>
      <c r="U111" s="178" t="e">
        <f t="shared" ca="1" si="43"/>
        <v>#VALUE!</v>
      </c>
      <c r="V111" s="183" t="e">
        <f t="shared" ca="1" si="44"/>
        <v>#VALUE!</v>
      </c>
      <c r="W111" s="184" t="e">
        <f t="shared" ca="1" si="28"/>
        <v>#VALUE!</v>
      </c>
    </row>
    <row r="112" spans="1:26" hidden="1" x14ac:dyDescent="0.25">
      <c r="A112" s="179" t="str">
        <f t="shared" si="34"/>
        <v/>
      </c>
      <c r="B112" s="173" t="e">
        <f t="shared" ca="1" si="29"/>
        <v>#VALUE!</v>
      </c>
      <c r="C112" s="173" t="e">
        <f t="shared" ca="1" si="30"/>
        <v>#VALUE!</v>
      </c>
      <c r="D112" s="179" t="str">
        <f t="shared" si="38"/>
        <v/>
      </c>
      <c r="E112" s="174" t="str">
        <f t="shared" si="39"/>
        <v/>
      </c>
      <c r="F112" s="174" t="str">
        <f>IF(AND(A111="",A113=""),"",IF(A112="",ROUND(SUM($F$25:F111),2),IF(A112=$D$8,$E$24-ROUND(SUM($F$25:F111),2),ROUND($E$24/$D$8,2))))</f>
        <v/>
      </c>
      <c r="G112" s="156" t="str">
        <f>IF(A111=$D$8,ROUND(SUM($G$25:G111),2),IF(A112&gt;$F$8,"",IF(T112&lt;&gt;T111,ROUND(SUM(V112*$F$9*E111/T112,W112*$F$9*E111/T111),2),ROUND(E111*$F$9*D112/T111,2))))</f>
        <v/>
      </c>
      <c r="H112" s="174" t="str">
        <f>IF(A111=$D$8,SUM($H$25:H111),IF(A111&gt;$D$8,"",F112+G112))</f>
        <v/>
      </c>
      <c r="I112" s="185" t="str">
        <f t="shared" si="40"/>
        <v/>
      </c>
      <c r="J112" s="185" t="str">
        <f t="shared" si="41"/>
        <v/>
      </c>
      <c r="K112" s="185"/>
      <c r="L112" s="185" t="str">
        <f t="shared" si="42"/>
        <v/>
      </c>
      <c r="M112" s="174" t="str">
        <f t="shared" si="37"/>
        <v/>
      </c>
      <c r="N112" s="174" t="str">
        <f t="shared" si="36"/>
        <v/>
      </c>
      <c r="O112" s="187"/>
      <c r="P112" s="181" t="str">
        <f>IF(A111=$D$8,XIRR(R$24:R111,C$24:C111),"")</f>
        <v/>
      </c>
      <c r="Q112" s="185" t="str">
        <f t="shared" si="35"/>
        <v/>
      </c>
      <c r="R112" s="177">
        <f t="shared" si="31"/>
        <v>0</v>
      </c>
      <c r="S112" s="178" t="e">
        <f t="shared" ca="1" si="32"/>
        <v>#VALUE!</v>
      </c>
      <c r="T112" s="178" t="e">
        <f t="shared" ca="1" si="33"/>
        <v>#VALUE!</v>
      </c>
      <c r="U112" s="178" t="e">
        <f t="shared" ca="1" si="43"/>
        <v>#VALUE!</v>
      </c>
      <c r="V112" s="183" t="e">
        <f t="shared" ca="1" si="44"/>
        <v>#VALUE!</v>
      </c>
      <c r="W112" s="184" t="e">
        <f t="shared" ca="1" si="28"/>
        <v>#VALUE!</v>
      </c>
    </row>
    <row r="113" spans="1:23" hidden="1" x14ac:dyDescent="0.25">
      <c r="A113" s="179" t="str">
        <f t="shared" si="34"/>
        <v/>
      </c>
      <c r="B113" s="173" t="e">
        <f t="shared" ca="1" si="29"/>
        <v>#VALUE!</v>
      </c>
      <c r="C113" s="173" t="e">
        <f t="shared" ca="1" si="30"/>
        <v>#VALUE!</v>
      </c>
      <c r="D113" s="179" t="str">
        <f t="shared" si="38"/>
        <v/>
      </c>
      <c r="E113" s="174" t="str">
        <f t="shared" si="39"/>
        <v/>
      </c>
      <c r="F113" s="174" t="str">
        <f>IF(AND(A112="",A114=""),"",IF(A113="",ROUND(SUM($F$25:F112),2),IF(A113=$D$8,$E$24-ROUND(SUM($F$25:F112),2),ROUND($E$24/$D$8,2))))</f>
        <v/>
      </c>
      <c r="G113" s="156" t="str">
        <f>IF(A112=$D$8,ROUND(SUM($G$25:G112),2),IF(A113&gt;$F$8,"",IF(T113&lt;&gt;T112,ROUND(SUM(V113*$F$9*E112/T113,W113*$F$9*E112/T112),2),ROUND(E112*$F$9*D113/T112,2))))</f>
        <v/>
      </c>
      <c r="H113" s="174" t="str">
        <f>IF(A112=$D$8,SUM($H$25:H112),IF(A112&gt;$D$8,"",F113+G113))</f>
        <v/>
      </c>
      <c r="I113" s="185" t="str">
        <f t="shared" si="40"/>
        <v/>
      </c>
      <c r="J113" s="185" t="str">
        <f t="shared" si="41"/>
        <v/>
      </c>
      <c r="K113" s="185"/>
      <c r="L113" s="185" t="str">
        <f t="shared" si="42"/>
        <v/>
      </c>
      <c r="M113" s="174" t="str">
        <f t="shared" si="37"/>
        <v/>
      </c>
      <c r="N113" s="174" t="str">
        <f t="shared" si="36"/>
        <v/>
      </c>
      <c r="O113" s="187"/>
      <c r="P113" s="181" t="str">
        <f>IF(A112=$D$8,XIRR(R$24:R112,C$24:C112),"")</f>
        <v/>
      </c>
      <c r="Q113" s="185" t="str">
        <f t="shared" si="35"/>
        <v/>
      </c>
      <c r="R113" s="177">
        <f t="shared" si="31"/>
        <v>0</v>
      </c>
      <c r="S113" s="178" t="e">
        <f t="shared" ca="1" si="32"/>
        <v>#VALUE!</v>
      </c>
      <c r="T113" s="178" t="e">
        <f t="shared" ca="1" si="33"/>
        <v>#VALUE!</v>
      </c>
      <c r="U113" s="178" t="e">
        <f t="shared" ca="1" si="43"/>
        <v>#VALUE!</v>
      </c>
      <c r="V113" s="183" t="e">
        <f t="shared" ca="1" si="44"/>
        <v>#VALUE!</v>
      </c>
      <c r="W113" s="184" t="e">
        <f t="shared" ca="1" si="28"/>
        <v>#VALUE!</v>
      </c>
    </row>
    <row r="114" spans="1:23" hidden="1" x14ac:dyDescent="0.25">
      <c r="A114" s="179" t="str">
        <f t="shared" si="34"/>
        <v/>
      </c>
      <c r="B114" s="173" t="e">
        <f t="shared" ca="1" si="29"/>
        <v>#VALUE!</v>
      </c>
      <c r="C114" s="173" t="e">
        <f t="shared" ca="1" si="30"/>
        <v>#VALUE!</v>
      </c>
      <c r="D114" s="179" t="str">
        <f t="shared" si="38"/>
        <v/>
      </c>
      <c r="E114" s="174" t="str">
        <f t="shared" si="39"/>
        <v/>
      </c>
      <c r="F114" s="174" t="str">
        <f>IF(AND(A113="",A115=""),"",IF(A114="",ROUND(SUM($F$25:F113),2),IF(A114=$D$8,$E$24-ROUND(SUM($F$25:F113),2),ROUND($E$24/$D$8,2))))</f>
        <v/>
      </c>
      <c r="G114" s="156" t="str">
        <f>IF(A113=$D$8,ROUND(SUM($G$25:G113),2),IF(A114&gt;$F$8,"",IF(T114&lt;&gt;T113,ROUND(SUM(V114*$F$9*E113/T114,W114*$F$9*E113/T113),2),ROUND(E113*$F$9*D114/T113,2))))</f>
        <v/>
      </c>
      <c r="H114" s="174" t="str">
        <f>IF(A113=$D$8,SUM($H$25:H113),IF(A113&gt;$D$8,"",F114+G114))</f>
        <v/>
      </c>
      <c r="I114" s="185" t="str">
        <f t="shared" si="40"/>
        <v/>
      </c>
      <c r="J114" s="185" t="str">
        <f t="shared" si="41"/>
        <v/>
      </c>
      <c r="K114" s="185"/>
      <c r="L114" s="185" t="str">
        <f t="shared" si="42"/>
        <v/>
      </c>
      <c r="M114" s="174" t="str">
        <f t="shared" si="37"/>
        <v/>
      </c>
      <c r="N114" s="174" t="str">
        <f t="shared" si="36"/>
        <v/>
      </c>
      <c r="O114" s="187"/>
      <c r="P114" s="181" t="str">
        <f>IF(A113=$D$8,XIRR(R$24:R113,C$24:C113),"")</f>
        <v/>
      </c>
      <c r="Q114" s="185" t="str">
        <f t="shared" si="35"/>
        <v/>
      </c>
      <c r="R114" s="177">
        <f t="shared" si="31"/>
        <v>0</v>
      </c>
      <c r="S114" s="178" t="e">
        <f t="shared" ca="1" si="32"/>
        <v>#VALUE!</v>
      </c>
      <c r="T114" s="178" t="e">
        <f t="shared" ca="1" si="33"/>
        <v>#VALUE!</v>
      </c>
      <c r="U114" s="178" t="e">
        <f t="shared" ca="1" si="43"/>
        <v>#VALUE!</v>
      </c>
      <c r="V114" s="183" t="e">
        <f t="shared" ca="1" si="44"/>
        <v>#VALUE!</v>
      </c>
      <c r="W114" s="184" t="e">
        <f t="shared" ca="1" si="28"/>
        <v>#VALUE!</v>
      </c>
    </row>
    <row r="115" spans="1:23" hidden="1" x14ac:dyDescent="0.25">
      <c r="A115" s="179" t="str">
        <f t="shared" si="34"/>
        <v/>
      </c>
      <c r="B115" s="173" t="e">
        <f t="shared" ca="1" si="29"/>
        <v>#VALUE!</v>
      </c>
      <c r="C115" s="173" t="e">
        <f t="shared" ca="1" si="30"/>
        <v>#VALUE!</v>
      </c>
      <c r="D115" s="179" t="str">
        <f t="shared" si="38"/>
        <v/>
      </c>
      <c r="E115" s="174" t="str">
        <f t="shared" si="39"/>
        <v/>
      </c>
      <c r="F115" s="174" t="str">
        <f>IF(AND(A114="",A116=""),"",IF(A115="",ROUND(SUM($F$25:F114),2),IF(A115=$D$8,$E$24-ROUND(SUM($F$25:F114),2),ROUND($E$24/$D$8,2))))</f>
        <v/>
      </c>
      <c r="G115" s="156" t="str">
        <f>IF(A114=$D$8,ROUND(SUM($G$25:G114),2),IF(A115&gt;$F$8,"",IF(T115&lt;&gt;T114,ROUND(SUM(V115*$F$9*E114/T115,W115*$F$9*E114/T114),2),ROUND(E114*$F$9*D115/T114,2))))</f>
        <v/>
      </c>
      <c r="H115" s="174" t="str">
        <f>IF(A114=$D$8,SUM($H$25:H114),IF(A114&gt;$D$8,"",F115+G115))</f>
        <v/>
      </c>
      <c r="I115" s="185" t="str">
        <f t="shared" si="40"/>
        <v/>
      </c>
      <c r="J115" s="185" t="str">
        <f t="shared" si="41"/>
        <v/>
      </c>
      <c r="K115" s="185"/>
      <c r="L115" s="185" t="str">
        <f t="shared" si="42"/>
        <v/>
      </c>
      <c r="M115" s="174" t="str">
        <f t="shared" si="37"/>
        <v/>
      </c>
      <c r="N115" s="174" t="str">
        <f t="shared" si="36"/>
        <v/>
      </c>
      <c r="O115" s="187"/>
      <c r="P115" s="181" t="str">
        <f>IF(A114=$D$8,XIRR(R$24:R114,C$24:C114),"")</f>
        <v/>
      </c>
      <c r="Q115" s="185" t="str">
        <f t="shared" si="35"/>
        <v/>
      </c>
      <c r="R115" s="177">
        <f t="shared" si="31"/>
        <v>0</v>
      </c>
      <c r="S115" s="178" t="e">
        <f t="shared" ca="1" si="32"/>
        <v>#VALUE!</v>
      </c>
      <c r="T115" s="178" t="e">
        <f t="shared" ca="1" si="33"/>
        <v>#VALUE!</v>
      </c>
      <c r="U115" s="178" t="e">
        <f t="shared" ca="1" si="43"/>
        <v>#VALUE!</v>
      </c>
      <c r="V115" s="183" t="e">
        <f t="shared" ca="1" si="44"/>
        <v>#VALUE!</v>
      </c>
      <c r="W115" s="184" t="e">
        <f t="shared" ca="1" si="28"/>
        <v>#VALUE!</v>
      </c>
    </row>
    <row r="116" spans="1:23" hidden="1" x14ac:dyDescent="0.25">
      <c r="A116" s="179" t="str">
        <f t="shared" si="34"/>
        <v/>
      </c>
      <c r="B116" s="173" t="e">
        <f t="shared" ca="1" si="29"/>
        <v>#VALUE!</v>
      </c>
      <c r="C116" s="173" t="e">
        <f t="shared" ca="1" si="30"/>
        <v>#VALUE!</v>
      </c>
      <c r="D116" s="179" t="str">
        <f t="shared" si="38"/>
        <v/>
      </c>
      <c r="E116" s="174" t="str">
        <f t="shared" si="39"/>
        <v/>
      </c>
      <c r="F116" s="174" t="str">
        <f>IF(AND(A115="",A117=""),"",IF(A116="",ROUND(SUM($F$25:F115),2),IF(A116=$D$8,$E$24-ROUND(SUM($F$25:F115),2),ROUND($E$24/$D$8,2))))</f>
        <v/>
      </c>
      <c r="G116" s="156" t="str">
        <f>IF(A115=$D$8,ROUND(SUM($G$25:G115),2),IF(A116&gt;$F$8,"",IF(T116&lt;&gt;T115,ROUND(SUM(V116*$F$9*E115/T116,W116*$F$9*E115/T115),2),ROUND(E115*$F$9*D116/T115,2))))</f>
        <v/>
      </c>
      <c r="H116" s="174" t="str">
        <f>IF(A115=$D$8,SUM($H$25:H115),IF(A115&gt;$D$8,"",F116+G116))</f>
        <v/>
      </c>
      <c r="I116" s="185" t="str">
        <f t="shared" si="40"/>
        <v/>
      </c>
      <c r="J116" s="185" t="str">
        <f t="shared" si="41"/>
        <v/>
      </c>
      <c r="K116" s="185"/>
      <c r="L116" s="185" t="str">
        <f t="shared" si="42"/>
        <v/>
      </c>
      <c r="M116" s="174" t="str">
        <f t="shared" si="37"/>
        <v/>
      </c>
      <c r="N116" s="174" t="str">
        <f t="shared" si="36"/>
        <v/>
      </c>
      <c r="O116" s="187"/>
      <c r="P116" s="181" t="str">
        <f>IF(A115=$D$8,XIRR(R$24:R115,C$24:C115),"")</f>
        <v/>
      </c>
      <c r="Q116" s="185" t="str">
        <f t="shared" si="35"/>
        <v/>
      </c>
      <c r="R116" s="177">
        <f t="shared" si="31"/>
        <v>0</v>
      </c>
      <c r="S116" s="178" t="e">
        <f t="shared" ca="1" si="32"/>
        <v>#VALUE!</v>
      </c>
      <c r="T116" s="178" t="e">
        <f t="shared" ca="1" si="33"/>
        <v>#VALUE!</v>
      </c>
      <c r="U116" s="178" t="e">
        <f t="shared" ca="1" si="43"/>
        <v>#VALUE!</v>
      </c>
      <c r="V116" s="183" t="e">
        <f t="shared" ca="1" si="44"/>
        <v>#VALUE!</v>
      </c>
      <c r="W116" s="184" t="e">
        <f t="shared" ca="1" si="28"/>
        <v>#VALUE!</v>
      </c>
    </row>
    <row r="117" spans="1:23" hidden="1" x14ac:dyDescent="0.25">
      <c r="A117" s="179" t="str">
        <f t="shared" si="34"/>
        <v/>
      </c>
      <c r="B117" s="173" t="e">
        <f t="shared" ca="1" si="29"/>
        <v>#VALUE!</v>
      </c>
      <c r="C117" s="173" t="e">
        <f t="shared" ca="1" si="30"/>
        <v>#VALUE!</v>
      </c>
      <c r="D117" s="179" t="str">
        <f t="shared" si="38"/>
        <v/>
      </c>
      <c r="E117" s="174" t="str">
        <f t="shared" si="39"/>
        <v/>
      </c>
      <c r="F117" s="174" t="str">
        <f>IF(AND(A116="",A118=""),"",IF(A117="",ROUND(SUM($F$25:F116),2),IF(A117=$D$8,$E$24-ROUND(SUM($F$25:F116),2),ROUND($E$24/$D$8,2))))</f>
        <v/>
      </c>
      <c r="G117" s="156" t="str">
        <f>IF(A116=$D$8,ROUND(SUM($G$25:G116),2),IF(A117&gt;$F$8,"",IF(T117&lt;&gt;T116,ROUND(SUM(V117*$F$9*E116/T117,W117*$F$9*E116/T116),2),ROUND(E116*$F$9*D117/T116,2))))</f>
        <v/>
      </c>
      <c r="H117" s="174" t="str">
        <f>IF(A116=$D$8,SUM($H$25:H116),IF(A116&gt;$D$8,"",F117+G117))</f>
        <v/>
      </c>
      <c r="I117" s="185" t="str">
        <f t="shared" si="40"/>
        <v/>
      </c>
      <c r="J117" s="185" t="str">
        <f t="shared" si="41"/>
        <v/>
      </c>
      <c r="K117" s="185"/>
      <c r="L117" s="185" t="str">
        <f t="shared" si="42"/>
        <v/>
      </c>
      <c r="M117" s="174" t="str">
        <f t="shared" si="37"/>
        <v/>
      </c>
      <c r="N117" s="174" t="str">
        <f t="shared" si="36"/>
        <v/>
      </c>
      <c r="O117" s="187"/>
      <c r="P117" s="181" t="str">
        <f>IF(A116=$D$8,XIRR(R$24:R116,C$24:C116),"")</f>
        <v/>
      </c>
      <c r="Q117" s="185" t="str">
        <f t="shared" si="35"/>
        <v/>
      </c>
      <c r="R117" s="177">
        <f t="shared" si="31"/>
        <v>0</v>
      </c>
      <c r="S117" s="178" t="e">
        <f t="shared" ca="1" si="32"/>
        <v>#VALUE!</v>
      </c>
      <c r="T117" s="178" t="e">
        <f t="shared" ca="1" si="33"/>
        <v>#VALUE!</v>
      </c>
      <c r="U117" s="178" t="e">
        <f t="shared" ca="1" si="43"/>
        <v>#VALUE!</v>
      </c>
      <c r="V117" s="183" t="e">
        <f t="shared" ca="1" si="44"/>
        <v>#VALUE!</v>
      </c>
      <c r="W117" s="184" t="e">
        <f t="shared" ca="1" si="28"/>
        <v>#VALUE!</v>
      </c>
    </row>
    <row r="118" spans="1:23" hidden="1" x14ac:dyDescent="0.25">
      <c r="A118" s="179" t="str">
        <f t="shared" si="34"/>
        <v/>
      </c>
      <c r="B118" s="173" t="e">
        <f t="shared" ca="1" si="29"/>
        <v>#VALUE!</v>
      </c>
      <c r="C118" s="173" t="e">
        <f t="shared" ca="1" si="30"/>
        <v>#VALUE!</v>
      </c>
      <c r="D118" s="179" t="str">
        <f t="shared" si="38"/>
        <v/>
      </c>
      <c r="E118" s="174" t="str">
        <f t="shared" si="39"/>
        <v/>
      </c>
      <c r="F118" s="174" t="str">
        <f>IF(AND(A117="",A119=""),"",IF(A118="",ROUND(SUM($F$25:F117),2),IF(A118=$D$8,$E$24-ROUND(SUM($F$25:F117),2),ROUND($E$24/$D$8,2))))</f>
        <v/>
      </c>
      <c r="G118" s="156" t="str">
        <f>IF(A117=$D$8,ROUND(SUM($G$25:G117),2),IF(A118&gt;$F$8,"",IF(T118&lt;&gt;T117,ROUND(SUM(V118*$F$9*E117/T118,W118*$F$9*E117/T117),2),ROUND(E117*$F$9*D118/T117,2))))</f>
        <v/>
      </c>
      <c r="H118" s="174" t="str">
        <f>IF(A117=$D$8,SUM($H$25:H117),IF(A117&gt;$D$8,"",F118+G118))</f>
        <v/>
      </c>
      <c r="I118" s="185" t="str">
        <f t="shared" si="40"/>
        <v/>
      </c>
      <c r="J118" s="185" t="str">
        <f t="shared" si="41"/>
        <v/>
      </c>
      <c r="K118" s="185"/>
      <c r="L118" s="185" t="str">
        <f t="shared" si="42"/>
        <v/>
      </c>
      <c r="M118" s="174" t="str">
        <f t="shared" si="37"/>
        <v/>
      </c>
      <c r="N118" s="174" t="str">
        <f t="shared" si="36"/>
        <v/>
      </c>
      <c r="O118" s="187"/>
      <c r="P118" s="181" t="str">
        <f>IF(A117=$D$8,XIRR(R$24:R117,C$24:C117),"")</f>
        <v/>
      </c>
      <c r="Q118" s="185" t="str">
        <f t="shared" si="35"/>
        <v/>
      </c>
      <c r="R118" s="177">
        <f t="shared" si="31"/>
        <v>0</v>
      </c>
      <c r="S118" s="178" t="e">
        <f t="shared" ca="1" si="32"/>
        <v>#VALUE!</v>
      </c>
      <c r="T118" s="178" t="e">
        <f t="shared" ca="1" si="33"/>
        <v>#VALUE!</v>
      </c>
      <c r="U118" s="178" t="e">
        <f t="shared" ca="1" si="43"/>
        <v>#VALUE!</v>
      </c>
      <c r="V118" s="183" t="e">
        <f t="shared" ca="1" si="44"/>
        <v>#VALUE!</v>
      </c>
      <c r="W118" s="184" t="e">
        <f t="shared" ca="1" si="28"/>
        <v>#VALUE!</v>
      </c>
    </row>
    <row r="119" spans="1:23" hidden="1" x14ac:dyDescent="0.25">
      <c r="A119" s="179" t="str">
        <f t="shared" si="34"/>
        <v/>
      </c>
      <c r="B119" s="173" t="e">
        <f t="shared" ca="1" si="29"/>
        <v>#VALUE!</v>
      </c>
      <c r="C119" s="173" t="e">
        <f t="shared" ca="1" si="30"/>
        <v>#VALUE!</v>
      </c>
      <c r="D119" s="179" t="str">
        <f t="shared" si="38"/>
        <v/>
      </c>
      <c r="E119" s="174" t="str">
        <f t="shared" si="39"/>
        <v/>
      </c>
      <c r="F119" s="174" t="str">
        <f>IF(AND(A118="",A120=""),"",IF(A119="",ROUND(SUM($F$25:F118),2),IF(A119=$D$8,$E$24-ROUND(SUM($F$25:F118),2),ROUND($E$24/$D$8,2))))</f>
        <v/>
      </c>
      <c r="G119" s="156" t="str">
        <f>IF(A118=$D$8,ROUND(SUM($G$25:G118),2),IF(A119&gt;$F$8,"",IF(T119&lt;&gt;T118,ROUND(SUM(V119*$F$9*E118/T119,W119*$F$9*E118/T118),2),ROUND(E118*$F$9*D119/T118,2))))</f>
        <v/>
      </c>
      <c r="H119" s="174" t="str">
        <f>IF(A118=$D$8,SUM($H$25:H118),IF(A118&gt;$D$8,"",F119+G119))</f>
        <v/>
      </c>
      <c r="I119" s="185" t="str">
        <f t="shared" si="40"/>
        <v/>
      </c>
      <c r="J119" s="185" t="str">
        <f t="shared" si="41"/>
        <v/>
      </c>
      <c r="K119" s="185"/>
      <c r="L119" s="185" t="str">
        <f t="shared" si="42"/>
        <v/>
      </c>
      <c r="M119" s="174" t="str">
        <f t="shared" si="37"/>
        <v/>
      </c>
      <c r="N119" s="174" t="str">
        <f t="shared" si="36"/>
        <v/>
      </c>
      <c r="O119" s="187"/>
      <c r="P119" s="181" t="str">
        <f>IF(A118=$D$8,XIRR(R$24:R118,C$24:C118),"")</f>
        <v/>
      </c>
      <c r="Q119" s="185" t="str">
        <f t="shared" si="35"/>
        <v/>
      </c>
      <c r="R119" s="177">
        <f t="shared" si="31"/>
        <v>0</v>
      </c>
      <c r="S119" s="178" t="e">
        <f t="shared" ca="1" si="32"/>
        <v>#VALUE!</v>
      </c>
      <c r="T119" s="178" t="e">
        <f t="shared" ca="1" si="33"/>
        <v>#VALUE!</v>
      </c>
      <c r="U119" s="178" t="e">
        <f t="shared" ca="1" si="43"/>
        <v>#VALUE!</v>
      </c>
      <c r="V119" s="183" t="e">
        <f t="shared" ca="1" si="44"/>
        <v>#VALUE!</v>
      </c>
      <c r="W119" s="184" t="e">
        <f t="shared" ca="1" si="28"/>
        <v>#VALUE!</v>
      </c>
    </row>
    <row r="120" spans="1:23" hidden="1" x14ac:dyDescent="0.25">
      <c r="A120" s="179" t="str">
        <f t="shared" si="34"/>
        <v/>
      </c>
      <c r="B120" s="173" t="e">
        <f t="shared" ca="1" si="29"/>
        <v>#VALUE!</v>
      </c>
      <c r="C120" s="173" t="e">
        <f t="shared" ca="1" si="30"/>
        <v>#VALUE!</v>
      </c>
      <c r="D120" s="179" t="str">
        <f t="shared" si="38"/>
        <v/>
      </c>
      <c r="E120" s="174" t="str">
        <f t="shared" si="39"/>
        <v/>
      </c>
      <c r="F120" s="174" t="str">
        <f>IF(AND(A119="",A121=""),"",IF(A120="",ROUND(SUM($F$25:F119),2),IF(A120=$D$8,$E$24-ROUND(SUM($F$25:F119),2),ROUND($E$24/$D$8,2))))</f>
        <v/>
      </c>
      <c r="G120" s="156" t="str">
        <f>IF(A119=$D$8,ROUND(SUM($G$25:G119),2),IF(A120&gt;$F$8,"",IF(T120&lt;&gt;T119,ROUND(SUM(V120*$F$9*E119/T120,W120*$F$9*E119/T119),2),ROUND(E119*$F$9*D120/T119,2))))</f>
        <v/>
      </c>
      <c r="H120" s="174" t="str">
        <f>IF(A119=$D$8,SUM($H$25:H119),IF(A119&gt;$D$8,"",F120+G120))</f>
        <v/>
      </c>
      <c r="I120" s="185" t="str">
        <f t="shared" si="40"/>
        <v/>
      </c>
      <c r="J120" s="185" t="str">
        <f t="shared" si="41"/>
        <v/>
      </c>
      <c r="K120" s="185"/>
      <c r="L120" s="185" t="str">
        <f t="shared" si="42"/>
        <v/>
      </c>
      <c r="M120" s="174" t="str">
        <f t="shared" si="37"/>
        <v/>
      </c>
      <c r="N120" s="174" t="str">
        <f t="shared" si="36"/>
        <v/>
      </c>
      <c r="O120" s="187"/>
      <c r="P120" s="181" t="str">
        <f>IF(A119=$D$8,XIRR(R$24:R119,C$24:C119),"")</f>
        <v/>
      </c>
      <c r="Q120" s="185" t="str">
        <f t="shared" si="35"/>
        <v/>
      </c>
      <c r="R120" s="177">
        <f t="shared" si="31"/>
        <v>0</v>
      </c>
      <c r="S120" s="178" t="e">
        <f t="shared" ca="1" si="32"/>
        <v>#VALUE!</v>
      </c>
      <c r="T120" s="178" t="e">
        <f t="shared" ca="1" si="33"/>
        <v>#VALUE!</v>
      </c>
      <c r="U120" s="178" t="e">
        <f t="shared" ca="1" si="43"/>
        <v>#VALUE!</v>
      </c>
      <c r="V120" s="183" t="e">
        <f t="shared" ca="1" si="44"/>
        <v>#VALUE!</v>
      </c>
      <c r="W120" s="184" t="e">
        <f t="shared" ca="1" si="28"/>
        <v>#VALUE!</v>
      </c>
    </row>
    <row r="121" spans="1:23" hidden="1" x14ac:dyDescent="0.25">
      <c r="A121" s="179" t="str">
        <f t="shared" si="34"/>
        <v/>
      </c>
      <c r="B121" s="173" t="e">
        <f t="shared" ca="1" si="29"/>
        <v>#VALUE!</v>
      </c>
      <c r="C121" s="173" t="e">
        <f t="shared" ca="1" si="30"/>
        <v>#VALUE!</v>
      </c>
      <c r="D121" s="179" t="str">
        <f t="shared" si="38"/>
        <v/>
      </c>
      <c r="E121" s="174" t="str">
        <f t="shared" si="39"/>
        <v/>
      </c>
      <c r="F121" s="174" t="str">
        <f>IF(AND(A120="",A122=""),"",IF(A121="",ROUND(SUM($F$25:F120),2),IF(A121=$D$8,$E$24-ROUND(SUM($F$25:F120),2),ROUND($E$24/$D$8,2))))</f>
        <v/>
      </c>
      <c r="G121" s="156" t="str">
        <f>IF(A120=$D$8,ROUND(SUM($G$25:G120),2),IF(A121&gt;$F$8,"",IF(T121&lt;&gt;T120,ROUND(SUM(V121*$F$9*E120/T121,W121*$F$9*E120/T120),2),ROUND(E120*$F$9*D121/T120,2))))</f>
        <v/>
      </c>
      <c r="H121" s="174" t="str">
        <f>IF(A120=$D$8,SUM($H$25:H120),IF(A120&gt;$D$8,"",F121+G121))</f>
        <v/>
      </c>
      <c r="I121" s="185" t="str">
        <f t="shared" si="40"/>
        <v/>
      </c>
      <c r="J121" s="185" t="str">
        <f t="shared" si="41"/>
        <v/>
      </c>
      <c r="K121" s="185" t="str">
        <f>IF($F$8&gt;96,($O$8+$O$10),IF($A$120=$F$8,$K$24*$G$8,""))</f>
        <v/>
      </c>
      <c r="L121" s="185" t="str">
        <f t="shared" si="42"/>
        <v/>
      </c>
      <c r="M121" s="174" t="str">
        <f t="shared" si="37"/>
        <v/>
      </c>
      <c r="N121" s="185" t="str">
        <f>IF($F$8&gt;96,($N$14),IF(A120=$F$8,N109+N97+N85+N73+N61+N49+N37+N24,""))</f>
        <v/>
      </c>
      <c r="O121" s="187"/>
      <c r="P121" s="181" t="str">
        <f>IF(A120=$D$8,XIRR(R$24:R120,C$24:C120),"")</f>
        <v/>
      </c>
      <c r="Q121" s="185" t="str">
        <f t="shared" si="35"/>
        <v/>
      </c>
      <c r="R121" s="177">
        <f t="shared" si="31"/>
        <v>0</v>
      </c>
      <c r="S121" s="178" t="e">
        <f t="shared" ca="1" si="32"/>
        <v>#VALUE!</v>
      </c>
      <c r="T121" s="178" t="e">
        <f t="shared" ca="1" si="33"/>
        <v>#VALUE!</v>
      </c>
      <c r="U121" s="178" t="e">
        <f t="shared" ca="1" si="43"/>
        <v>#VALUE!</v>
      </c>
      <c r="V121" s="183" t="e">
        <f t="shared" ca="1" si="44"/>
        <v>#VALUE!</v>
      </c>
      <c r="W121" s="184" t="e">
        <f t="shared" ca="1" si="28"/>
        <v>#VALUE!</v>
      </c>
    </row>
    <row r="122" spans="1:23" hidden="1" x14ac:dyDescent="0.25">
      <c r="A122" s="179" t="str">
        <f t="shared" si="34"/>
        <v/>
      </c>
      <c r="B122" s="173" t="e">
        <f t="shared" ca="1" si="29"/>
        <v>#VALUE!</v>
      </c>
      <c r="C122" s="173" t="e">
        <f t="shared" ca="1" si="30"/>
        <v>#VALUE!</v>
      </c>
      <c r="D122" s="179" t="str">
        <f t="shared" si="38"/>
        <v/>
      </c>
      <c r="E122" s="174" t="str">
        <f t="shared" si="39"/>
        <v/>
      </c>
      <c r="F122" s="174" t="str">
        <f>IF(AND(A121="",A123=""),"",IF(A122="",ROUND(SUM($F$25:F121),2),IF(A122=$D$8,$E$24-ROUND(SUM($F$25:F121),2),ROUND($E$24/$D$8,2))))</f>
        <v/>
      </c>
      <c r="G122" s="156" t="str">
        <f>IF(A121=$D$8,ROUND(SUM($G$25:G121),2),IF(A122&gt;$F$8,"",IF(T122&lt;&gt;T121,ROUND(SUM(V122*$F$9*E121/T122,W122*$F$9*E121/T121),2),ROUND(E121*$F$9*D122/T121,2))))</f>
        <v/>
      </c>
      <c r="H122" s="174" t="str">
        <f>IF(A121=$D$8,SUM($H$25:H121),IF(A121&gt;$D$8,"",F122+G122))</f>
        <v/>
      </c>
      <c r="I122" s="185" t="str">
        <f t="shared" si="40"/>
        <v/>
      </c>
      <c r="J122" s="185" t="str">
        <f t="shared" si="41"/>
        <v/>
      </c>
      <c r="K122" s="185"/>
      <c r="L122" s="185" t="str">
        <f t="shared" si="42"/>
        <v/>
      </c>
      <c r="M122" s="174" t="str">
        <f t="shared" si="37"/>
        <v/>
      </c>
      <c r="N122" s="174" t="str">
        <f t="shared" si="36"/>
        <v/>
      </c>
      <c r="O122" s="187"/>
      <c r="P122" s="181" t="str">
        <f>IF(A121=$D$8,XIRR(R$24:R121,C$24:C121),"")</f>
        <v/>
      </c>
      <c r="Q122" s="185" t="str">
        <f t="shared" si="35"/>
        <v/>
      </c>
      <c r="R122" s="177">
        <f t="shared" si="31"/>
        <v>0</v>
      </c>
      <c r="S122" s="178" t="e">
        <f t="shared" ca="1" si="32"/>
        <v>#VALUE!</v>
      </c>
      <c r="T122" s="178" t="e">
        <f t="shared" ca="1" si="33"/>
        <v>#VALUE!</v>
      </c>
      <c r="U122" s="178" t="e">
        <f t="shared" ca="1" si="43"/>
        <v>#VALUE!</v>
      </c>
      <c r="V122" s="183" t="e">
        <f t="shared" ca="1" si="44"/>
        <v>#VALUE!</v>
      </c>
      <c r="W122" s="184" t="e">
        <f t="shared" ca="1" si="28"/>
        <v>#VALUE!</v>
      </c>
    </row>
    <row r="123" spans="1:23" hidden="1" x14ac:dyDescent="0.25">
      <c r="A123" s="179" t="str">
        <f t="shared" si="34"/>
        <v/>
      </c>
      <c r="B123" s="173" t="e">
        <f t="shared" ca="1" si="29"/>
        <v>#VALUE!</v>
      </c>
      <c r="C123" s="173" t="e">
        <f t="shared" ca="1" si="30"/>
        <v>#VALUE!</v>
      </c>
      <c r="D123" s="179" t="str">
        <f t="shared" si="38"/>
        <v/>
      </c>
      <c r="E123" s="174" t="str">
        <f t="shared" si="39"/>
        <v/>
      </c>
      <c r="F123" s="174" t="str">
        <f>IF(AND(A122="",A124=""),"",IF(A123="",ROUND(SUM($F$25:F122),2),IF(A123=$D$8,$E$24-ROUND(SUM($F$25:F122),2),ROUND($E$24/$D$8,2))))</f>
        <v/>
      </c>
      <c r="G123" s="156" t="str">
        <f>IF(A122=$D$8,ROUND(SUM($G$25:G122),2),IF(A123&gt;$F$8,"",IF(T123&lt;&gt;T122,ROUND(SUM(V123*$F$9*E122/T123,W123*$F$9*E122/T122),2),ROUND(E122*$F$9*D123/T122,2))))</f>
        <v/>
      </c>
      <c r="H123" s="174" t="str">
        <f>IF(A122=$D$8,SUM($H$25:H122),IF(A122&gt;$D$8,"",F123+G123))</f>
        <v/>
      </c>
      <c r="I123" s="185" t="str">
        <f t="shared" si="40"/>
        <v/>
      </c>
      <c r="J123" s="185" t="str">
        <f t="shared" si="41"/>
        <v/>
      </c>
      <c r="K123" s="185"/>
      <c r="L123" s="185" t="str">
        <f t="shared" si="42"/>
        <v/>
      </c>
      <c r="M123" s="174" t="str">
        <f t="shared" si="37"/>
        <v/>
      </c>
      <c r="N123" s="174" t="str">
        <f t="shared" si="36"/>
        <v/>
      </c>
      <c r="O123" s="187"/>
      <c r="P123" s="181" t="str">
        <f>IF(A122=$D$8,XIRR(R$24:R122,C$24:C122),"")</f>
        <v/>
      </c>
      <c r="Q123" s="185" t="str">
        <f t="shared" si="35"/>
        <v/>
      </c>
      <c r="R123" s="177">
        <f t="shared" si="31"/>
        <v>0</v>
      </c>
      <c r="S123" s="178" t="e">
        <f t="shared" ca="1" si="32"/>
        <v>#VALUE!</v>
      </c>
      <c r="T123" s="178" t="e">
        <f t="shared" ca="1" si="33"/>
        <v>#VALUE!</v>
      </c>
      <c r="U123" s="178" t="e">
        <f t="shared" ca="1" si="43"/>
        <v>#VALUE!</v>
      </c>
      <c r="V123" s="183" t="e">
        <f t="shared" ca="1" si="44"/>
        <v>#VALUE!</v>
      </c>
      <c r="W123" s="184" t="e">
        <f t="shared" ca="1" si="28"/>
        <v>#VALUE!</v>
      </c>
    </row>
    <row r="124" spans="1:23" hidden="1" x14ac:dyDescent="0.25">
      <c r="A124" s="179" t="str">
        <f t="shared" si="34"/>
        <v/>
      </c>
      <c r="B124" s="173" t="e">
        <f t="shared" ca="1" si="29"/>
        <v>#VALUE!</v>
      </c>
      <c r="C124" s="173" t="e">
        <f t="shared" ca="1" si="30"/>
        <v>#VALUE!</v>
      </c>
      <c r="D124" s="179" t="str">
        <f t="shared" si="38"/>
        <v/>
      </c>
      <c r="E124" s="174" t="str">
        <f t="shared" si="39"/>
        <v/>
      </c>
      <c r="F124" s="174" t="str">
        <f>IF(AND(A123="",A125=""),"",IF(A124="",ROUND(SUM($F$25:F123),2),IF(A124=$D$8,$E$24-ROUND(SUM($F$25:F123),2),ROUND($E$24/$D$8,2))))</f>
        <v/>
      </c>
      <c r="G124" s="156" t="str">
        <f>IF(A123=$D$8,ROUND(SUM($G$25:G123),2),IF(A124&gt;$F$8,"",IF(T124&lt;&gt;T123,ROUND(SUM(V124*$F$9*E123/T124,W124*$F$9*E123/T123),2),ROUND(E123*$F$9*D124/T123,2))))</f>
        <v/>
      </c>
      <c r="H124" s="174" t="str">
        <f>IF(A123=$D$8,SUM($H$25:H123),IF(A123&gt;$D$8,"",F124+G124))</f>
        <v/>
      </c>
      <c r="I124" s="185" t="str">
        <f t="shared" si="40"/>
        <v/>
      </c>
      <c r="J124" s="185" t="str">
        <f t="shared" si="41"/>
        <v/>
      </c>
      <c r="K124" s="185"/>
      <c r="L124" s="185" t="str">
        <f t="shared" si="42"/>
        <v/>
      </c>
      <c r="M124" s="174" t="str">
        <f t="shared" si="37"/>
        <v/>
      </c>
      <c r="N124" s="174" t="str">
        <f t="shared" si="36"/>
        <v/>
      </c>
      <c r="O124" s="187"/>
      <c r="P124" s="181" t="str">
        <f>IF(A123=$D$8,XIRR(R$24:R123,C$24:C123),"")</f>
        <v/>
      </c>
      <c r="Q124" s="185" t="str">
        <f t="shared" si="35"/>
        <v/>
      </c>
      <c r="R124" s="177">
        <f t="shared" si="31"/>
        <v>0</v>
      </c>
      <c r="S124" s="178" t="e">
        <f t="shared" ca="1" si="32"/>
        <v>#VALUE!</v>
      </c>
      <c r="T124" s="178" t="e">
        <f t="shared" ca="1" si="33"/>
        <v>#VALUE!</v>
      </c>
      <c r="U124" s="178" t="e">
        <f t="shared" ca="1" si="43"/>
        <v>#VALUE!</v>
      </c>
      <c r="V124" s="183" t="e">
        <f t="shared" ca="1" si="44"/>
        <v>#VALUE!</v>
      </c>
      <c r="W124" s="184" t="e">
        <f t="shared" ca="1" si="28"/>
        <v>#VALUE!</v>
      </c>
    </row>
    <row r="125" spans="1:23" hidden="1" x14ac:dyDescent="0.25">
      <c r="A125" s="179" t="str">
        <f t="shared" si="34"/>
        <v/>
      </c>
      <c r="B125" s="173" t="e">
        <f t="shared" ca="1" si="29"/>
        <v>#VALUE!</v>
      </c>
      <c r="C125" s="173" t="e">
        <f t="shared" ca="1" si="30"/>
        <v>#VALUE!</v>
      </c>
      <c r="D125" s="179" t="str">
        <f t="shared" si="38"/>
        <v/>
      </c>
      <c r="E125" s="174" t="str">
        <f t="shared" si="39"/>
        <v/>
      </c>
      <c r="F125" s="174" t="str">
        <f>IF(AND(A124="",A126=""),"",IF(A125="",ROUND(SUM($F$25:F124),2),IF(A125=$D$8,$E$24-ROUND(SUM($F$25:F124),2),ROUND($E$24/$D$8,2))))</f>
        <v/>
      </c>
      <c r="G125" s="156" t="str">
        <f>IF(A124=$D$8,ROUND(SUM($G$25:G124),2),IF(A125&gt;$F$8,"",IF(T125&lt;&gt;T124,ROUND(SUM(V125*$F$9*E124/T125,W125*$F$9*E124/T124),2),ROUND(E124*$F$9*D125/T124,2))))</f>
        <v/>
      </c>
      <c r="H125" s="174" t="str">
        <f>IF(A124=$D$8,SUM($H$25:H124),IF(A124&gt;$D$8,"",F125+G125))</f>
        <v/>
      </c>
      <c r="I125" s="185" t="str">
        <f t="shared" si="40"/>
        <v/>
      </c>
      <c r="J125" s="185" t="str">
        <f t="shared" si="41"/>
        <v/>
      </c>
      <c r="K125" s="185"/>
      <c r="L125" s="185" t="str">
        <f t="shared" si="42"/>
        <v/>
      </c>
      <c r="M125" s="174" t="str">
        <f t="shared" si="37"/>
        <v/>
      </c>
      <c r="N125" s="174" t="str">
        <f t="shared" si="36"/>
        <v/>
      </c>
      <c r="O125" s="187"/>
      <c r="P125" s="181" t="str">
        <f>IF(A124=$D$8,XIRR(R$24:R124,C$24:C124),"")</f>
        <v/>
      </c>
      <c r="Q125" s="185" t="str">
        <f t="shared" si="35"/>
        <v/>
      </c>
      <c r="R125" s="177">
        <f t="shared" si="31"/>
        <v>0</v>
      </c>
      <c r="S125" s="178" t="e">
        <f t="shared" ca="1" si="32"/>
        <v>#VALUE!</v>
      </c>
      <c r="T125" s="178" t="e">
        <f t="shared" ca="1" si="33"/>
        <v>#VALUE!</v>
      </c>
      <c r="U125" s="178" t="e">
        <f t="shared" ca="1" si="43"/>
        <v>#VALUE!</v>
      </c>
      <c r="V125" s="183" t="e">
        <f t="shared" ca="1" si="44"/>
        <v>#VALUE!</v>
      </c>
      <c r="W125" s="184" t="e">
        <f t="shared" ca="1" si="28"/>
        <v>#VALUE!</v>
      </c>
    </row>
    <row r="126" spans="1:23" hidden="1" x14ac:dyDescent="0.25">
      <c r="A126" s="179" t="str">
        <f t="shared" si="34"/>
        <v/>
      </c>
      <c r="B126" s="173" t="e">
        <f t="shared" ca="1" si="29"/>
        <v>#VALUE!</v>
      </c>
      <c r="C126" s="173" t="e">
        <f t="shared" ca="1" si="30"/>
        <v>#VALUE!</v>
      </c>
      <c r="D126" s="179" t="str">
        <f t="shared" si="38"/>
        <v/>
      </c>
      <c r="E126" s="174" t="str">
        <f t="shared" si="39"/>
        <v/>
      </c>
      <c r="F126" s="174" t="str">
        <f>IF(AND(A125="",A127=""),"",IF(A126="",ROUND(SUM($F$25:F125),2),IF(A126=$D$8,$E$24-ROUND(SUM($F$25:F125),2),ROUND($E$24/$D$8,2))))</f>
        <v/>
      </c>
      <c r="G126" s="156" t="str">
        <f>IF(A125=$D$8,ROUND(SUM($G$25:G125),2),IF(A126&gt;$F$8,"",IF(T126&lt;&gt;T125,ROUND(SUM(V126*$F$9*E125/T126,W126*$F$9*E125/T125),2),ROUND(E125*$F$9*D126/T125,2))))</f>
        <v/>
      </c>
      <c r="H126" s="174" t="str">
        <f>IF(A125=$D$8,SUM($H$25:H125),IF(A125&gt;$D$8,"",F126+G126))</f>
        <v/>
      </c>
      <c r="I126" s="185" t="str">
        <f t="shared" si="40"/>
        <v/>
      </c>
      <c r="J126" s="185" t="str">
        <f t="shared" si="41"/>
        <v/>
      </c>
      <c r="K126" s="185"/>
      <c r="L126" s="185" t="str">
        <f t="shared" si="42"/>
        <v/>
      </c>
      <c r="M126" s="174" t="str">
        <f t="shared" si="37"/>
        <v/>
      </c>
      <c r="N126" s="174" t="str">
        <f t="shared" si="36"/>
        <v/>
      </c>
      <c r="O126" s="187"/>
      <c r="P126" s="181" t="str">
        <f>IF(A125=$D$8,XIRR(R$24:R125,C$24:C125),"")</f>
        <v/>
      </c>
      <c r="Q126" s="185" t="str">
        <f t="shared" si="35"/>
        <v/>
      </c>
      <c r="R126" s="177">
        <f t="shared" si="31"/>
        <v>0</v>
      </c>
      <c r="S126" s="178" t="e">
        <f t="shared" ca="1" si="32"/>
        <v>#VALUE!</v>
      </c>
      <c r="T126" s="178" t="e">
        <f t="shared" ca="1" si="33"/>
        <v>#VALUE!</v>
      </c>
      <c r="U126" s="178" t="e">
        <f t="shared" ca="1" si="43"/>
        <v>#VALUE!</v>
      </c>
      <c r="V126" s="183" t="e">
        <f t="shared" ca="1" si="44"/>
        <v>#VALUE!</v>
      </c>
      <c r="W126" s="184" t="e">
        <f t="shared" ca="1" si="28"/>
        <v>#VALUE!</v>
      </c>
    </row>
    <row r="127" spans="1:23" hidden="1" x14ac:dyDescent="0.25">
      <c r="A127" s="179" t="str">
        <f t="shared" si="34"/>
        <v/>
      </c>
      <c r="B127" s="173" t="e">
        <f t="shared" ca="1" si="29"/>
        <v>#VALUE!</v>
      </c>
      <c r="C127" s="173" t="e">
        <f t="shared" ca="1" si="30"/>
        <v>#VALUE!</v>
      </c>
      <c r="D127" s="179" t="str">
        <f t="shared" si="38"/>
        <v/>
      </c>
      <c r="E127" s="174" t="str">
        <f t="shared" si="39"/>
        <v/>
      </c>
      <c r="F127" s="174" t="str">
        <f>IF(AND(A126="",A128=""),"",IF(A127="",ROUND(SUM($F$25:F126),2),IF(A127=$D$8,$E$24-ROUND(SUM($F$25:F126),2),ROUND($E$24/$D$8,2))))</f>
        <v/>
      </c>
      <c r="G127" s="156" t="str">
        <f>IF(A126=$D$8,ROUND(SUM($G$25:G126),2),IF(A127&gt;$F$8,"",IF(T127&lt;&gt;T126,ROUND(SUM(V127*$F$9*E126/T127,W127*$F$9*E126/T126),2),ROUND(E126*$F$9*D127/T126,2))))</f>
        <v/>
      </c>
      <c r="H127" s="174" t="str">
        <f>IF(A126=$D$8,SUM($H$25:H126),IF(A126&gt;$D$8,"",F127+G127))</f>
        <v/>
      </c>
      <c r="I127" s="185" t="str">
        <f t="shared" si="40"/>
        <v/>
      </c>
      <c r="J127" s="185" t="str">
        <f t="shared" si="41"/>
        <v/>
      </c>
      <c r="K127" s="185"/>
      <c r="L127" s="185" t="str">
        <f t="shared" si="42"/>
        <v/>
      </c>
      <c r="M127" s="174" t="str">
        <f t="shared" si="37"/>
        <v/>
      </c>
      <c r="N127" s="174" t="str">
        <f t="shared" si="36"/>
        <v/>
      </c>
      <c r="O127" s="187"/>
      <c r="P127" s="181" t="str">
        <f>IF(A126=$D$8,XIRR(R$24:R126,C$24:C126),"")</f>
        <v/>
      </c>
      <c r="Q127" s="185" t="str">
        <f t="shared" si="35"/>
        <v/>
      </c>
      <c r="R127" s="177">
        <f t="shared" si="31"/>
        <v>0</v>
      </c>
      <c r="S127" s="178" t="e">
        <f t="shared" ca="1" si="32"/>
        <v>#VALUE!</v>
      </c>
      <c r="T127" s="178" t="e">
        <f t="shared" ca="1" si="33"/>
        <v>#VALUE!</v>
      </c>
      <c r="U127" s="178" t="e">
        <f t="shared" ca="1" si="43"/>
        <v>#VALUE!</v>
      </c>
      <c r="V127" s="183" t="e">
        <f t="shared" ca="1" si="44"/>
        <v>#VALUE!</v>
      </c>
      <c r="W127" s="184" t="e">
        <f t="shared" ca="1" si="28"/>
        <v>#VALUE!</v>
      </c>
    </row>
    <row r="128" spans="1:23" hidden="1" x14ac:dyDescent="0.25">
      <c r="A128" s="179" t="str">
        <f t="shared" si="34"/>
        <v/>
      </c>
      <c r="B128" s="173" t="e">
        <f t="shared" ca="1" si="29"/>
        <v>#VALUE!</v>
      </c>
      <c r="C128" s="173" t="e">
        <f t="shared" ca="1" si="30"/>
        <v>#VALUE!</v>
      </c>
      <c r="D128" s="179" t="str">
        <f t="shared" si="38"/>
        <v/>
      </c>
      <c r="E128" s="174" t="str">
        <f t="shared" si="39"/>
        <v/>
      </c>
      <c r="F128" s="174" t="str">
        <f>IF(AND(A127="",A129=""),"",IF(A128="",ROUND(SUM($F$25:F127),2),IF(A128=$D$8,$E$24-ROUND(SUM($F$25:F127),2),ROUND($E$24/$D$8,2))))</f>
        <v/>
      </c>
      <c r="G128" s="156" t="str">
        <f>IF(A127=$D$8,ROUND(SUM($G$25:G127),2),IF(A128&gt;$F$8,"",IF(T128&lt;&gt;T127,ROUND(SUM(V128*$F$9*E127/T128,W128*$F$9*E127/T127),2),ROUND(E127*$F$9*D128/T127,2))))</f>
        <v/>
      </c>
      <c r="H128" s="174" t="str">
        <f>IF(A127=$D$8,SUM($H$25:H127),IF(A127&gt;$D$8,"",F128+G128))</f>
        <v/>
      </c>
      <c r="I128" s="185" t="str">
        <f t="shared" si="40"/>
        <v/>
      </c>
      <c r="J128" s="185" t="str">
        <f t="shared" si="41"/>
        <v/>
      </c>
      <c r="K128" s="185"/>
      <c r="L128" s="185" t="str">
        <f t="shared" si="42"/>
        <v/>
      </c>
      <c r="M128" s="174" t="str">
        <f t="shared" si="37"/>
        <v/>
      </c>
      <c r="N128" s="174" t="str">
        <f t="shared" si="36"/>
        <v/>
      </c>
      <c r="O128" s="187"/>
      <c r="P128" s="181" t="str">
        <f>IF(A127=$D$8,XIRR(R$24:R127,C$24:C127),"")</f>
        <v/>
      </c>
      <c r="Q128" s="185" t="str">
        <f t="shared" si="35"/>
        <v/>
      </c>
      <c r="R128" s="177">
        <f t="shared" si="31"/>
        <v>0</v>
      </c>
      <c r="S128" s="178" t="e">
        <f t="shared" ca="1" si="32"/>
        <v>#VALUE!</v>
      </c>
      <c r="T128" s="178" t="e">
        <f t="shared" ca="1" si="33"/>
        <v>#VALUE!</v>
      </c>
      <c r="U128" s="178" t="e">
        <f t="shared" ca="1" si="43"/>
        <v>#VALUE!</v>
      </c>
      <c r="V128" s="183" t="e">
        <f t="shared" ca="1" si="44"/>
        <v>#VALUE!</v>
      </c>
      <c r="W128" s="184" t="e">
        <f t="shared" ca="1" si="28"/>
        <v>#VALUE!</v>
      </c>
    </row>
    <row r="129" spans="1:23" hidden="1" x14ac:dyDescent="0.25">
      <c r="A129" s="179" t="str">
        <f t="shared" si="34"/>
        <v/>
      </c>
      <c r="B129" s="173" t="e">
        <f t="shared" ca="1" si="29"/>
        <v>#VALUE!</v>
      </c>
      <c r="C129" s="173" t="e">
        <f t="shared" ca="1" si="30"/>
        <v>#VALUE!</v>
      </c>
      <c r="D129" s="179" t="str">
        <f t="shared" si="38"/>
        <v/>
      </c>
      <c r="E129" s="174" t="str">
        <f t="shared" si="39"/>
        <v/>
      </c>
      <c r="F129" s="174" t="str">
        <f>IF(AND(A128="",A130=""),"",IF(A129="",ROUND(SUM($F$25:F128),2),IF(A129=$D$8,$E$24-ROUND(SUM($F$25:F128),2),ROUND($E$24/$D$8,2))))</f>
        <v/>
      </c>
      <c r="G129" s="156" t="str">
        <f>IF(A128=$D$8,ROUND(SUM($G$25:G128),2),IF(A129&gt;$F$8,"",IF(T129&lt;&gt;T128,ROUND(SUM(V129*$F$9*E128/T129,W129*$F$9*E128/T128),2),ROUND(E128*$F$9*D129/T128,2))))</f>
        <v/>
      </c>
      <c r="H129" s="174" t="str">
        <f>IF(A128=$D$8,SUM($H$25:H128),IF(A128&gt;$D$8,"",F129+G129))</f>
        <v/>
      </c>
      <c r="I129" s="185" t="str">
        <f t="shared" si="40"/>
        <v/>
      </c>
      <c r="J129" s="185" t="str">
        <f t="shared" si="41"/>
        <v/>
      </c>
      <c r="K129" s="185"/>
      <c r="L129" s="185" t="str">
        <f t="shared" si="42"/>
        <v/>
      </c>
      <c r="M129" s="174" t="str">
        <f t="shared" si="37"/>
        <v/>
      </c>
      <c r="N129" s="174" t="str">
        <f t="shared" si="36"/>
        <v/>
      </c>
      <c r="O129" s="187"/>
      <c r="P129" s="181" t="str">
        <f>IF(A128=$D$8,XIRR(R$24:R128,C$24:C128),"")</f>
        <v/>
      </c>
      <c r="Q129" s="185" t="str">
        <f t="shared" si="35"/>
        <v/>
      </c>
      <c r="R129" s="177">
        <f t="shared" si="31"/>
        <v>0</v>
      </c>
      <c r="S129" s="178" t="e">
        <f t="shared" ca="1" si="32"/>
        <v>#VALUE!</v>
      </c>
      <c r="T129" s="178" t="e">
        <f t="shared" ca="1" si="33"/>
        <v>#VALUE!</v>
      </c>
      <c r="U129" s="178" t="e">
        <f t="shared" ca="1" si="43"/>
        <v>#VALUE!</v>
      </c>
      <c r="V129" s="183" t="e">
        <f t="shared" ca="1" si="44"/>
        <v>#VALUE!</v>
      </c>
      <c r="W129" s="184" t="e">
        <f t="shared" ca="1" si="28"/>
        <v>#VALUE!</v>
      </c>
    </row>
    <row r="130" spans="1:23" hidden="1" x14ac:dyDescent="0.25">
      <c r="A130" s="179" t="str">
        <f t="shared" si="34"/>
        <v/>
      </c>
      <c r="B130" s="173" t="e">
        <f t="shared" ca="1" si="29"/>
        <v>#VALUE!</v>
      </c>
      <c r="C130" s="173" t="e">
        <f t="shared" ca="1" si="30"/>
        <v>#VALUE!</v>
      </c>
      <c r="D130" s="179" t="str">
        <f t="shared" si="38"/>
        <v/>
      </c>
      <c r="E130" s="174" t="str">
        <f t="shared" si="39"/>
        <v/>
      </c>
      <c r="F130" s="174" t="str">
        <f>IF(AND(A129="",A131=""),"",IF(A130="",ROUND(SUM($F$25:F129),2),IF(A130=$D$8,$E$24-ROUND(SUM($F$25:F129),2),ROUND($E$24/$D$8,2))))</f>
        <v/>
      </c>
      <c r="G130" s="156" t="str">
        <f>IF(A129=$D$8,ROUND(SUM($G$25:G129),2),IF(A130&gt;$F$8,"",IF(T130&lt;&gt;T129,ROUND(SUM(V130*$F$9*E129/T130,W130*$F$9*E129/T129),2),ROUND(E129*$F$9*D130/T129,2))))</f>
        <v/>
      </c>
      <c r="H130" s="174" t="str">
        <f>IF(A129=$D$8,SUM($H$25:H129),IF(A129&gt;$D$8,"",F130+G130))</f>
        <v/>
      </c>
      <c r="I130" s="185" t="str">
        <f t="shared" si="40"/>
        <v/>
      </c>
      <c r="J130" s="185" t="str">
        <f t="shared" si="41"/>
        <v/>
      </c>
      <c r="K130" s="185"/>
      <c r="L130" s="185" t="str">
        <f t="shared" si="42"/>
        <v/>
      </c>
      <c r="M130" s="174" t="str">
        <f t="shared" si="37"/>
        <v/>
      </c>
      <c r="N130" s="174" t="str">
        <f t="shared" si="36"/>
        <v/>
      </c>
      <c r="O130" s="187"/>
      <c r="P130" s="181" t="str">
        <f>IF(A129=$D$8,XIRR(R$24:R129,C$24:C129),"")</f>
        <v/>
      </c>
      <c r="Q130" s="185" t="str">
        <f t="shared" si="35"/>
        <v/>
      </c>
      <c r="R130" s="177">
        <f t="shared" si="31"/>
        <v>0</v>
      </c>
      <c r="S130" s="178" t="e">
        <f t="shared" ca="1" si="32"/>
        <v>#VALUE!</v>
      </c>
      <c r="T130" s="178" t="e">
        <f t="shared" ca="1" si="33"/>
        <v>#VALUE!</v>
      </c>
      <c r="U130" s="178" t="e">
        <f t="shared" ca="1" si="43"/>
        <v>#VALUE!</v>
      </c>
      <c r="V130" s="183" t="e">
        <f t="shared" ca="1" si="44"/>
        <v>#VALUE!</v>
      </c>
      <c r="W130" s="184" t="e">
        <f t="shared" ca="1" si="28"/>
        <v>#VALUE!</v>
      </c>
    </row>
    <row r="131" spans="1:23" hidden="1" x14ac:dyDescent="0.25">
      <c r="A131" s="179" t="str">
        <f t="shared" si="34"/>
        <v/>
      </c>
      <c r="B131" s="173" t="e">
        <f t="shared" ca="1" si="29"/>
        <v>#VALUE!</v>
      </c>
      <c r="C131" s="173" t="e">
        <f t="shared" ca="1" si="30"/>
        <v>#VALUE!</v>
      </c>
      <c r="D131" s="179" t="str">
        <f t="shared" si="38"/>
        <v/>
      </c>
      <c r="E131" s="174" t="str">
        <f t="shared" si="39"/>
        <v/>
      </c>
      <c r="F131" s="174" t="str">
        <f>IF(AND(A130="",A132=""),"",IF(A131="",ROUND(SUM($F$25:F130),2),IF(A131=$D$8,$E$24-ROUND(SUM($F$25:F130),2),ROUND($E$24/$D$8,2))))</f>
        <v/>
      </c>
      <c r="G131" s="156" t="str">
        <f>IF(A130=$D$8,ROUND(SUM($G$25:G130),2),IF(A131&gt;$F$8,"",IF(T131&lt;&gt;T130,ROUND(SUM(V131*$F$9*E130/T131,W131*$F$9*E130/T130),2),ROUND(E130*$F$9*D131/T130,2))))</f>
        <v/>
      </c>
      <c r="H131" s="174" t="str">
        <f>IF(A130=$D$8,SUM($H$25:H130),IF(A130&gt;$D$8,"",F131+G131))</f>
        <v/>
      </c>
      <c r="I131" s="185" t="str">
        <f t="shared" si="40"/>
        <v/>
      </c>
      <c r="J131" s="185" t="str">
        <f t="shared" si="41"/>
        <v/>
      </c>
      <c r="K131" s="185"/>
      <c r="L131" s="185" t="str">
        <f t="shared" si="42"/>
        <v/>
      </c>
      <c r="M131" s="174" t="str">
        <f t="shared" si="37"/>
        <v/>
      </c>
      <c r="N131" s="174" t="str">
        <f t="shared" si="36"/>
        <v/>
      </c>
      <c r="O131" s="187"/>
      <c r="P131" s="181" t="str">
        <f>IF(A130=$D$8,XIRR(R$24:R130,C$24:C130),"")</f>
        <v/>
      </c>
      <c r="Q131" s="185" t="str">
        <f t="shared" si="35"/>
        <v/>
      </c>
      <c r="R131" s="177">
        <f t="shared" si="31"/>
        <v>0</v>
      </c>
      <c r="S131" s="178" t="e">
        <f t="shared" ca="1" si="32"/>
        <v>#VALUE!</v>
      </c>
      <c r="T131" s="178" t="e">
        <f t="shared" ca="1" si="33"/>
        <v>#VALUE!</v>
      </c>
      <c r="U131" s="178" t="e">
        <f t="shared" ca="1" si="43"/>
        <v>#VALUE!</v>
      </c>
      <c r="V131" s="183" t="e">
        <f t="shared" ca="1" si="44"/>
        <v>#VALUE!</v>
      </c>
      <c r="W131" s="184" t="e">
        <f t="shared" ca="1" si="28"/>
        <v>#VALUE!</v>
      </c>
    </row>
    <row r="132" spans="1:23" hidden="1" x14ac:dyDescent="0.25">
      <c r="A132" s="179" t="str">
        <f t="shared" si="34"/>
        <v/>
      </c>
      <c r="B132" s="173" t="e">
        <f t="shared" ca="1" si="29"/>
        <v>#VALUE!</v>
      </c>
      <c r="C132" s="173" t="e">
        <f t="shared" ca="1" si="30"/>
        <v>#VALUE!</v>
      </c>
      <c r="D132" s="179" t="str">
        <f t="shared" si="38"/>
        <v/>
      </c>
      <c r="E132" s="174" t="str">
        <f t="shared" si="39"/>
        <v/>
      </c>
      <c r="F132" s="174" t="str">
        <f>IF(AND(A131="",A133=""),"",IF(A132="",ROUND(SUM($F$25:F131),2),IF(A132=$D$8,$E$24-ROUND(SUM($F$25:F131),2),ROUND($E$24/$D$8,2))))</f>
        <v/>
      </c>
      <c r="G132" s="156" t="str">
        <f>IF(A131=$D$8,ROUND(SUM($G$25:G131),2),IF(A132&gt;$F$8,"",IF(T132&lt;&gt;T131,ROUND(SUM(V132*$F$9*E131/T132,W132*$F$9*E131/T131),2),ROUND(E131*$F$9*D132/T131,2))))</f>
        <v/>
      </c>
      <c r="H132" s="174" t="str">
        <f>IF(A131=$D$8,SUM($H$25:H131),IF(A131&gt;$D$8,"",F132+G132))</f>
        <v/>
      </c>
      <c r="I132" s="185" t="str">
        <f t="shared" si="40"/>
        <v/>
      </c>
      <c r="J132" s="185" t="str">
        <f t="shared" si="41"/>
        <v/>
      </c>
      <c r="K132" s="185"/>
      <c r="L132" s="185" t="str">
        <f t="shared" si="42"/>
        <v/>
      </c>
      <c r="M132" s="174" t="str">
        <f t="shared" si="37"/>
        <v/>
      </c>
      <c r="N132" s="174" t="str">
        <f t="shared" si="36"/>
        <v/>
      </c>
      <c r="O132" s="187"/>
      <c r="P132" s="181" t="str">
        <f>IF(A131=$D$8,XIRR(R$24:R131,C$24:C131),"")</f>
        <v/>
      </c>
      <c r="Q132" s="185" t="str">
        <f t="shared" si="35"/>
        <v/>
      </c>
      <c r="R132" s="177">
        <f t="shared" si="31"/>
        <v>0</v>
      </c>
      <c r="S132" s="178" t="e">
        <f t="shared" ca="1" si="32"/>
        <v>#VALUE!</v>
      </c>
      <c r="T132" s="178" t="e">
        <f t="shared" ca="1" si="33"/>
        <v>#VALUE!</v>
      </c>
      <c r="U132" s="178" t="e">
        <f t="shared" ca="1" si="43"/>
        <v>#VALUE!</v>
      </c>
      <c r="V132" s="183" t="e">
        <f t="shared" ca="1" si="44"/>
        <v>#VALUE!</v>
      </c>
      <c r="W132" s="184" t="e">
        <f t="shared" ca="1" si="28"/>
        <v>#VALUE!</v>
      </c>
    </row>
    <row r="133" spans="1:23" hidden="1" x14ac:dyDescent="0.25">
      <c r="A133" s="179" t="str">
        <f t="shared" si="34"/>
        <v/>
      </c>
      <c r="B133" s="173" t="e">
        <f t="shared" ca="1" si="29"/>
        <v>#VALUE!</v>
      </c>
      <c r="C133" s="173" t="e">
        <f t="shared" ca="1" si="30"/>
        <v>#VALUE!</v>
      </c>
      <c r="D133" s="179" t="str">
        <f t="shared" si="38"/>
        <v/>
      </c>
      <c r="E133" s="174" t="str">
        <f t="shared" si="39"/>
        <v/>
      </c>
      <c r="F133" s="174" t="str">
        <f>IF(AND(A132="",A134=""),"",IF(A133="",ROUND(SUM($F$25:F132),2),IF(A133=$D$8,$E$24-ROUND(SUM($F$25:F132),2),ROUND($E$24/$D$8,2))))</f>
        <v/>
      </c>
      <c r="G133" s="156" t="str">
        <f>IF(A132=$D$8,ROUND(SUM($G$25:G132),2),IF(A133&gt;$F$8,"",IF(T133&lt;&gt;T132,ROUND(SUM(V133*$F$9*E132/T133,W133*$F$9*E132/T132),2),ROUND(E132*$F$9*D133/T132,2))))</f>
        <v/>
      </c>
      <c r="H133" s="174" t="str">
        <f>IF(A132=$D$8,SUM($H$25:H132),IF(A132&gt;$D$8,"",F133+G133))</f>
        <v/>
      </c>
      <c r="I133" s="185" t="str">
        <f t="shared" si="40"/>
        <v/>
      </c>
      <c r="J133" s="185" t="str">
        <f t="shared" si="41"/>
        <v/>
      </c>
      <c r="K133" s="185" t="str">
        <f>IF($F$8&gt;108,($O$8+$O$10),IF($A$132=$F$8,$K$24*$G$8,""))</f>
        <v/>
      </c>
      <c r="L133" s="185" t="str">
        <f t="shared" si="42"/>
        <v/>
      </c>
      <c r="M133" s="174" t="str">
        <f t="shared" si="37"/>
        <v/>
      </c>
      <c r="N133" s="185" t="str">
        <f>IF($F$8&gt;108,($N$14),IF(A132=$F$8,N121+N109+N97+N85+N73+N61+N49+N37+N24,""))</f>
        <v/>
      </c>
      <c r="O133" s="187"/>
      <c r="P133" s="181" t="str">
        <f>IF(A132=$D$8,XIRR(R$24:R132,C$24:C132),"")</f>
        <v/>
      </c>
      <c r="Q133" s="185" t="str">
        <f t="shared" si="35"/>
        <v/>
      </c>
      <c r="R133" s="177">
        <f t="shared" si="31"/>
        <v>0</v>
      </c>
      <c r="S133" s="178" t="e">
        <f t="shared" ca="1" si="32"/>
        <v>#VALUE!</v>
      </c>
      <c r="T133" s="178" t="e">
        <f t="shared" ca="1" si="33"/>
        <v>#VALUE!</v>
      </c>
      <c r="U133" s="178" t="e">
        <f t="shared" ca="1" si="43"/>
        <v>#VALUE!</v>
      </c>
      <c r="V133" s="183" t="e">
        <f t="shared" ca="1" si="44"/>
        <v>#VALUE!</v>
      </c>
      <c r="W133" s="184" t="e">
        <f t="shared" ca="1" si="28"/>
        <v>#VALUE!</v>
      </c>
    </row>
    <row r="134" spans="1:23" hidden="1" x14ac:dyDescent="0.25">
      <c r="A134" s="179" t="str">
        <f t="shared" si="34"/>
        <v/>
      </c>
      <c r="B134" s="173" t="e">
        <f t="shared" ca="1" si="29"/>
        <v>#VALUE!</v>
      </c>
      <c r="C134" s="173" t="e">
        <f t="shared" ca="1" si="30"/>
        <v>#VALUE!</v>
      </c>
      <c r="D134" s="179" t="str">
        <f t="shared" si="38"/>
        <v/>
      </c>
      <c r="E134" s="174" t="str">
        <f t="shared" si="39"/>
        <v/>
      </c>
      <c r="F134" s="174" t="str">
        <f>IF(AND(A133="",A135=""),"",IF(A134="",ROUND(SUM($F$25:F133),2),IF(A134=$D$8,$E$24-ROUND(SUM($F$25:F133),2),ROUND($E$24/$D$8,2))))</f>
        <v/>
      </c>
      <c r="G134" s="156" t="str">
        <f>IF(A133=$D$8,ROUND(SUM($G$25:G133),2),IF(A134&gt;$F$8,"",IF(T134&lt;&gt;T133,ROUND(SUM(V134*$F$9*E133/T134,W134*$F$9*E133/T133),2),ROUND(E133*$F$9*D134/T133,2))))</f>
        <v/>
      </c>
      <c r="H134" s="174" t="str">
        <f>IF(A133=$D$8,SUM($H$25:H133),IF(A133&gt;$D$8,"",F134+G134))</f>
        <v/>
      </c>
      <c r="I134" s="185" t="str">
        <f t="shared" si="40"/>
        <v/>
      </c>
      <c r="J134" s="185" t="str">
        <f t="shared" si="41"/>
        <v/>
      </c>
      <c r="K134" s="185"/>
      <c r="L134" s="185" t="str">
        <f t="shared" si="42"/>
        <v/>
      </c>
      <c r="M134" s="174" t="str">
        <f t="shared" si="37"/>
        <v/>
      </c>
      <c r="N134" s="174" t="str">
        <f t="shared" si="36"/>
        <v/>
      </c>
      <c r="O134" s="187"/>
      <c r="P134" s="181" t="str">
        <f>IF(A133=$D$8,XIRR(R$24:R133,C$24:C133),"")</f>
        <v/>
      </c>
      <c r="Q134" s="185" t="str">
        <f t="shared" si="35"/>
        <v/>
      </c>
      <c r="R134" s="177">
        <f t="shared" si="31"/>
        <v>0</v>
      </c>
      <c r="S134" s="178" t="e">
        <f t="shared" ca="1" si="32"/>
        <v>#VALUE!</v>
      </c>
      <c r="T134" s="178" t="e">
        <f t="shared" ca="1" si="33"/>
        <v>#VALUE!</v>
      </c>
      <c r="U134" s="178" t="e">
        <f t="shared" ca="1" si="43"/>
        <v>#VALUE!</v>
      </c>
      <c r="V134" s="183" t="e">
        <f t="shared" ca="1" si="44"/>
        <v>#VALUE!</v>
      </c>
      <c r="W134" s="184" t="e">
        <f t="shared" ca="1" si="28"/>
        <v>#VALUE!</v>
      </c>
    </row>
    <row r="135" spans="1:23" hidden="1" x14ac:dyDescent="0.25">
      <c r="A135" s="179" t="str">
        <f t="shared" si="34"/>
        <v/>
      </c>
      <c r="B135" s="173" t="e">
        <f t="shared" ca="1" si="29"/>
        <v>#VALUE!</v>
      </c>
      <c r="C135" s="173" t="e">
        <f t="shared" ca="1" si="30"/>
        <v>#VALUE!</v>
      </c>
      <c r="D135" s="179" t="str">
        <f t="shared" si="38"/>
        <v/>
      </c>
      <c r="E135" s="174" t="str">
        <f t="shared" si="39"/>
        <v/>
      </c>
      <c r="F135" s="174" t="str">
        <f>IF(AND(A134="",A136=""),"",IF(A135="",ROUND(SUM($F$25:F134),2),IF(A135=$D$8,$E$24-ROUND(SUM($F$25:F134),2),ROUND($E$24/$D$8,2))))</f>
        <v/>
      </c>
      <c r="G135" s="156" t="str">
        <f>IF(A134=$D$8,ROUND(SUM($G$25:G134),2),IF(A135&gt;$F$8,"",IF(T135&lt;&gt;T134,ROUND(SUM(V135*$F$9*E134/T135,W135*$F$9*E134/T134),2),ROUND(E134*$F$9*D135/T134,2))))</f>
        <v/>
      </c>
      <c r="H135" s="174" t="str">
        <f>IF(A134=$D$8,SUM($H$25:H134),IF(A134&gt;$D$8,"",F135+G135))</f>
        <v/>
      </c>
      <c r="I135" s="185" t="str">
        <f t="shared" si="40"/>
        <v/>
      </c>
      <c r="J135" s="185" t="str">
        <f t="shared" si="41"/>
        <v/>
      </c>
      <c r="K135" s="185"/>
      <c r="L135" s="185" t="str">
        <f t="shared" si="42"/>
        <v/>
      </c>
      <c r="M135" s="174" t="str">
        <f t="shared" si="37"/>
        <v/>
      </c>
      <c r="N135" s="174" t="str">
        <f t="shared" si="36"/>
        <v/>
      </c>
      <c r="O135" s="187"/>
      <c r="P135" s="181" t="str">
        <f>IF(A134=$D$8,XIRR(R$24:R134,C$24:C134),"")</f>
        <v/>
      </c>
      <c r="Q135" s="185" t="str">
        <f t="shared" si="35"/>
        <v/>
      </c>
      <c r="R135" s="177">
        <f t="shared" si="31"/>
        <v>0</v>
      </c>
      <c r="S135" s="178" t="e">
        <f t="shared" ca="1" si="32"/>
        <v>#VALUE!</v>
      </c>
      <c r="T135" s="178" t="e">
        <f t="shared" ca="1" si="33"/>
        <v>#VALUE!</v>
      </c>
      <c r="U135" s="178" t="e">
        <f t="shared" ca="1" si="43"/>
        <v>#VALUE!</v>
      </c>
      <c r="V135" s="183" t="e">
        <f t="shared" ca="1" si="44"/>
        <v>#VALUE!</v>
      </c>
      <c r="W135" s="184" t="e">
        <f t="shared" ca="1" si="28"/>
        <v>#VALUE!</v>
      </c>
    </row>
    <row r="136" spans="1:23" hidden="1" x14ac:dyDescent="0.25">
      <c r="A136" s="179" t="str">
        <f t="shared" si="34"/>
        <v/>
      </c>
      <c r="B136" s="173" t="e">
        <f t="shared" ca="1" si="29"/>
        <v>#VALUE!</v>
      </c>
      <c r="C136" s="173" t="e">
        <f t="shared" ca="1" si="30"/>
        <v>#VALUE!</v>
      </c>
      <c r="D136" s="179" t="str">
        <f t="shared" si="38"/>
        <v/>
      </c>
      <c r="E136" s="174" t="str">
        <f t="shared" si="39"/>
        <v/>
      </c>
      <c r="F136" s="174" t="str">
        <f>IF(AND(A135="",A137=""),"",IF(A136="",ROUND(SUM($F$25:F135),2),IF(A136=$D$8,$E$24-ROUND(SUM($F$25:F135),2),ROUND($E$24/$D$8,2))))</f>
        <v/>
      </c>
      <c r="G136" s="156" t="str">
        <f>IF(A135=$D$8,ROUND(SUM($G$25:G135),2),IF(A136&gt;$F$8,"",IF(T136&lt;&gt;T135,ROUND(SUM(V136*$F$9*E135/T136,W136*$F$9*E135/T135),2),ROUND(E135*$F$9*D136/T135,2))))</f>
        <v/>
      </c>
      <c r="H136" s="174" t="str">
        <f>IF(A135=$D$8,SUM($H$25:H135),IF(A135&gt;$D$8,"",F136+G136))</f>
        <v/>
      </c>
      <c r="I136" s="185" t="str">
        <f t="shared" si="40"/>
        <v/>
      </c>
      <c r="J136" s="185" t="str">
        <f t="shared" si="41"/>
        <v/>
      </c>
      <c r="K136" s="185"/>
      <c r="L136" s="185" t="str">
        <f t="shared" si="42"/>
        <v/>
      </c>
      <c r="M136" s="174" t="str">
        <f t="shared" si="37"/>
        <v/>
      </c>
      <c r="N136" s="174" t="str">
        <f t="shared" si="36"/>
        <v/>
      </c>
      <c r="O136" s="187"/>
      <c r="P136" s="181" t="str">
        <f>IF(A135=$D$8,XIRR(R$24:R135,C$24:C135),"")</f>
        <v/>
      </c>
      <c r="Q136" s="185" t="str">
        <f t="shared" si="35"/>
        <v/>
      </c>
      <c r="R136" s="177">
        <f t="shared" si="31"/>
        <v>0</v>
      </c>
      <c r="S136" s="178" t="e">
        <f t="shared" ca="1" si="32"/>
        <v>#VALUE!</v>
      </c>
      <c r="T136" s="178" t="e">
        <f t="shared" ca="1" si="33"/>
        <v>#VALUE!</v>
      </c>
      <c r="U136" s="178" t="e">
        <f t="shared" ca="1" si="43"/>
        <v>#VALUE!</v>
      </c>
      <c r="V136" s="183" t="e">
        <f t="shared" ca="1" si="44"/>
        <v>#VALUE!</v>
      </c>
      <c r="W136" s="184" t="e">
        <f t="shared" ca="1" si="28"/>
        <v>#VALUE!</v>
      </c>
    </row>
    <row r="137" spans="1:23" hidden="1" x14ac:dyDescent="0.25">
      <c r="A137" s="179" t="str">
        <f t="shared" si="34"/>
        <v/>
      </c>
      <c r="B137" s="173" t="e">
        <f t="shared" ca="1" si="29"/>
        <v>#VALUE!</v>
      </c>
      <c r="C137" s="173" t="e">
        <f t="shared" ca="1" si="30"/>
        <v>#VALUE!</v>
      </c>
      <c r="D137" s="179" t="str">
        <f t="shared" si="38"/>
        <v/>
      </c>
      <c r="E137" s="174" t="str">
        <f t="shared" si="39"/>
        <v/>
      </c>
      <c r="F137" s="174" t="str">
        <f>IF(AND(A136="",A138=""),"",IF(A137="",ROUND(SUM($F$25:F136),2),IF(A137=$D$8,$E$24-ROUND(SUM($F$25:F136),2),ROUND($E$24/$D$8,2))))</f>
        <v/>
      </c>
      <c r="G137" s="156" t="str">
        <f>IF(A136=$D$8,ROUND(SUM($G$25:G136),2),IF(A137&gt;$F$8,"",IF(T137&lt;&gt;T136,ROUND(SUM(V137*$F$9*E136/T137,W137*$F$9*E136/T136),2),ROUND(E136*$F$9*D137/T136,2))))</f>
        <v/>
      </c>
      <c r="H137" s="174" t="str">
        <f>IF(A136=$D$8,SUM($H$25:H136),IF(A136&gt;$D$8,"",F137+G137))</f>
        <v/>
      </c>
      <c r="I137" s="185" t="str">
        <f t="shared" si="40"/>
        <v/>
      </c>
      <c r="J137" s="185" t="str">
        <f t="shared" si="41"/>
        <v/>
      </c>
      <c r="K137" s="185"/>
      <c r="L137" s="185" t="str">
        <f t="shared" si="42"/>
        <v/>
      </c>
      <c r="M137" s="174" t="str">
        <f t="shared" si="37"/>
        <v/>
      </c>
      <c r="N137" s="174" t="str">
        <f t="shared" si="36"/>
        <v/>
      </c>
      <c r="O137" s="187"/>
      <c r="P137" s="181" t="str">
        <f>IF(A136=$D$8,XIRR(R$24:R136,C$24:C136),"")</f>
        <v/>
      </c>
      <c r="Q137" s="185" t="str">
        <f t="shared" si="35"/>
        <v/>
      </c>
      <c r="R137" s="177">
        <f t="shared" si="31"/>
        <v>0</v>
      </c>
      <c r="S137" s="178" t="e">
        <f t="shared" ca="1" si="32"/>
        <v>#VALUE!</v>
      </c>
      <c r="T137" s="178" t="e">
        <f t="shared" ca="1" si="33"/>
        <v>#VALUE!</v>
      </c>
      <c r="U137" s="178" t="e">
        <f t="shared" ca="1" si="43"/>
        <v>#VALUE!</v>
      </c>
      <c r="V137" s="183" t="e">
        <f t="shared" ca="1" si="44"/>
        <v>#VALUE!</v>
      </c>
      <c r="W137" s="184" t="e">
        <f t="shared" ca="1" si="28"/>
        <v>#VALUE!</v>
      </c>
    </row>
    <row r="138" spans="1:23" hidden="1" x14ac:dyDescent="0.25">
      <c r="A138" s="179" t="str">
        <f t="shared" si="34"/>
        <v/>
      </c>
      <c r="B138" s="173" t="e">
        <f t="shared" ca="1" si="29"/>
        <v>#VALUE!</v>
      </c>
      <c r="C138" s="173" t="e">
        <f t="shared" ca="1" si="30"/>
        <v>#VALUE!</v>
      </c>
      <c r="D138" s="179" t="str">
        <f t="shared" si="38"/>
        <v/>
      </c>
      <c r="E138" s="174" t="str">
        <f t="shared" si="39"/>
        <v/>
      </c>
      <c r="F138" s="174" t="str">
        <f>IF(AND(A137="",A139=""),"",IF(A138="",ROUND(SUM($F$25:F137),2),IF(A138=$D$8,$E$24-ROUND(SUM($F$25:F137),2),ROUND($E$24/$D$8,2))))</f>
        <v/>
      </c>
      <c r="G138" s="156" t="str">
        <f>IF(A137=$D$8,ROUND(SUM($G$25:G137),2),IF(A138&gt;$F$8,"",IF(T138&lt;&gt;T137,ROUND(SUM(V138*$F$9*E137/T138,W138*$F$9*E137/T137),2),ROUND(E137*$F$9*D138/T137,2))))</f>
        <v/>
      </c>
      <c r="H138" s="174" t="str">
        <f>IF(A137=$D$8,SUM($H$25:H137),IF(A137&gt;$D$8,"",F138+G138))</f>
        <v/>
      </c>
      <c r="I138" s="185" t="str">
        <f t="shared" si="40"/>
        <v/>
      </c>
      <c r="J138" s="185" t="str">
        <f t="shared" si="41"/>
        <v/>
      </c>
      <c r="K138" s="185"/>
      <c r="L138" s="185" t="str">
        <f t="shared" si="42"/>
        <v/>
      </c>
      <c r="M138" s="174" t="str">
        <f t="shared" si="37"/>
        <v/>
      </c>
      <c r="N138" s="174" t="str">
        <f t="shared" si="36"/>
        <v/>
      </c>
      <c r="O138" s="187"/>
      <c r="P138" s="181" t="str">
        <f>IF(A137=$D$8,XIRR(R$24:R137,C$24:C137),"")</f>
        <v/>
      </c>
      <c r="Q138" s="185" t="str">
        <f t="shared" si="35"/>
        <v/>
      </c>
      <c r="R138" s="177">
        <f t="shared" si="31"/>
        <v>0</v>
      </c>
      <c r="S138" s="178" t="e">
        <f t="shared" ca="1" si="32"/>
        <v>#VALUE!</v>
      </c>
      <c r="T138" s="178" t="e">
        <f t="shared" ca="1" si="33"/>
        <v>#VALUE!</v>
      </c>
      <c r="U138" s="178" t="e">
        <f t="shared" ca="1" si="43"/>
        <v>#VALUE!</v>
      </c>
      <c r="V138" s="183" t="e">
        <f t="shared" ca="1" si="44"/>
        <v>#VALUE!</v>
      </c>
      <c r="W138" s="184" t="e">
        <f t="shared" ca="1" si="28"/>
        <v>#VALUE!</v>
      </c>
    </row>
    <row r="139" spans="1:23" hidden="1" x14ac:dyDescent="0.25">
      <c r="A139" s="179" t="str">
        <f t="shared" si="34"/>
        <v/>
      </c>
      <c r="B139" s="173" t="e">
        <f t="shared" ca="1" si="29"/>
        <v>#VALUE!</v>
      </c>
      <c r="C139" s="173" t="e">
        <f t="shared" ca="1" si="30"/>
        <v>#VALUE!</v>
      </c>
      <c r="D139" s="179" t="str">
        <f t="shared" si="38"/>
        <v/>
      </c>
      <c r="E139" s="174" t="str">
        <f t="shared" si="39"/>
        <v/>
      </c>
      <c r="F139" s="174" t="str">
        <f>IF(AND(A138="",A140=""),"",IF(A139="",ROUND(SUM($F$25:F138),2),IF(A139=$D$8,$E$24-ROUND(SUM($F$25:F138),2),ROUND($E$24/$D$8,2))))</f>
        <v/>
      </c>
      <c r="G139" s="156" t="str">
        <f>IF(A138=$D$8,ROUND(SUM($G$25:G138),2),IF(A139&gt;$F$8,"",IF(T139&lt;&gt;T138,ROUND(SUM(V139*$F$9*E138/T139,W139*$F$9*E138/T138),2),ROUND(E138*$F$9*D139/T138,2))))</f>
        <v/>
      </c>
      <c r="H139" s="174" t="str">
        <f>IF(A138=$D$8,SUM($H$25:H138),IF(A138&gt;$D$8,"",F139+G139))</f>
        <v/>
      </c>
      <c r="I139" s="185" t="str">
        <f t="shared" si="40"/>
        <v/>
      </c>
      <c r="J139" s="185" t="str">
        <f t="shared" si="41"/>
        <v/>
      </c>
      <c r="K139" s="185"/>
      <c r="L139" s="185" t="str">
        <f t="shared" si="42"/>
        <v/>
      </c>
      <c r="M139" s="174" t="str">
        <f t="shared" si="37"/>
        <v/>
      </c>
      <c r="N139" s="174" t="str">
        <f t="shared" si="36"/>
        <v/>
      </c>
      <c r="O139" s="187"/>
      <c r="P139" s="181" t="str">
        <f>IF(A138=$D$8,XIRR(R$24:R138,C$24:C138),"")</f>
        <v/>
      </c>
      <c r="Q139" s="185" t="str">
        <f t="shared" si="35"/>
        <v/>
      </c>
      <c r="R139" s="177">
        <f t="shared" si="31"/>
        <v>0</v>
      </c>
      <c r="S139" s="178" t="e">
        <f t="shared" ca="1" si="32"/>
        <v>#VALUE!</v>
      </c>
      <c r="T139" s="178" t="e">
        <f t="shared" ca="1" si="33"/>
        <v>#VALUE!</v>
      </c>
      <c r="U139" s="178" t="e">
        <f t="shared" ca="1" si="43"/>
        <v>#VALUE!</v>
      </c>
      <c r="V139" s="183" t="e">
        <f t="shared" ca="1" si="44"/>
        <v>#VALUE!</v>
      </c>
      <c r="W139" s="184" t="e">
        <f t="shared" ca="1" si="28"/>
        <v>#VALUE!</v>
      </c>
    </row>
    <row r="140" spans="1:23" hidden="1" x14ac:dyDescent="0.25">
      <c r="A140" s="179" t="str">
        <f t="shared" si="34"/>
        <v/>
      </c>
      <c r="B140" s="173" t="e">
        <f t="shared" ca="1" si="29"/>
        <v>#VALUE!</v>
      </c>
      <c r="C140" s="173" t="e">
        <f t="shared" ca="1" si="30"/>
        <v>#VALUE!</v>
      </c>
      <c r="D140" s="179" t="str">
        <f t="shared" si="38"/>
        <v/>
      </c>
      <c r="E140" s="174" t="str">
        <f t="shared" si="39"/>
        <v/>
      </c>
      <c r="F140" s="174" t="str">
        <f>IF(AND(A139="",A141=""),"",IF(A140="",ROUND(SUM($F$25:F139),2),IF(A140=$D$8,$E$24-ROUND(SUM($F$25:F139),2),ROUND($E$24/$D$8,2))))</f>
        <v/>
      </c>
      <c r="G140" s="156" t="str">
        <f>IF(A139=$D$8,ROUND(SUM($G$25:G139),2),IF(A140&gt;$F$8,"",IF(T140&lt;&gt;T139,ROUND(SUM(V140*$F$9*E139/T140,W140*$F$9*E139/T139),2),ROUND(E139*$F$9*D140/T139,2))))</f>
        <v/>
      </c>
      <c r="H140" s="174" t="str">
        <f>IF(A139=$D$8,SUM($H$25:H139),IF(A139&gt;$D$8,"",F140+G140))</f>
        <v/>
      </c>
      <c r="I140" s="185" t="str">
        <f t="shared" si="40"/>
        <v/>
      </c>
      <c r="J140" s="185" t="str">
        <f t="shared" si="41"/>
        <v/>
      </c>
      <c r="K140" s="185"/>
      <c r="L140" s="185" t="str">
        <f t="shared" si="42"/>
        <v/>
      </c>
      <c r="M140" s="174" t="str">
        <f t="shared" si="37"/>
        <v/>
      </c>
      <c r="N140" s="174" t="str">
        <f t="shared" si="36"/>
        <v/>
      </c>
      <c r="O140" s="187"/>
      <c r="P140" s="181" t="str">
        <f>IF(A139=$D$8,XIRR(R$24:R139,C$24:C139),"")</f>
        <v/>
      </c>
      <c r="Q140" s="185" t="str">
        <f t="shared" si="35"/>
        <v/>
      </c>
      <c r="R140" s="177">
        <f t="shared" si="31"/>
        <v>0</v>
      </c>
      <c r="S140" s="178" t="e">
        <f t="shared" ca="1" si="32"/>
        <v>#VALUE!</v>
      </c>
      <c r="T140" s="178" t="e">
        <f t="shared" ca="1" si="33"/>
        <v>#VALUE!</v>
      </c>
      <c r="U140" s="178" t="e">
        <f t="shared" ca="1" si="43"/>
        <v>#VALUE!</v>
      </c>
      <c r="V140" s="183" t="e">
        <f t="shared" ca="1" si="44"/>
        <v>#VALUE!</v>
      </c>
      <c r="W140" s="184" t="e">
        <f t="shared" ca="1" si="28"/>
        <v>#VALUE!</v>
      </c>
    </row>
    <row r="141" spans="1:23" hidden="1" x14ac:dyDescent="0.25">
      <c r="A141" s="179" t="str">
        <f t="shared" si="34"/>
        <v/>
      </c>
      <c r="B141" s="173" t="e">
        <f t="shared" ca="1" si="29"/>
        <v>#VALUE!</v>
      </c>
      <c r="C141" s="173" t="e">
        <f t="shared" ca="1" si="30"/>
        <v>#VALUE!</v>
      </c>
      <c r="D141" s="179" t="str">
        <f t="shared" si="38"/>
        <v/>
      </c>
      <c r="E141" s="174" t="str">
        <f t="shared" si="39"/>
        <v/>
      </c>
      <c r="F141" s="174" t="str">
        <f>IF(AND(A140="",A142=""),"",IF(A141="",ROUND(SUM($F$25:F140),2),IF(A141=$D$8,$E$24-ROUND(SUM($F$25:F140),2),ROUND($E$24/$D$8,2))))</f>
        <v/>
      </c>
      <c r="G141" s="156" t="str">
        <f>IF(A140=$D$8,ROUND(SUM($G$25:G140),2),IF(A141&gt;$F$8,"",IF(T141&lt;&gt;T140,ROUND(SUM(V141*$F$9*E140/T141,W141*$F$9*E140/T140),2),ROUND(E140*$F$9*D141/T140,2))))</f>
        <v/>
      </c>
      <c r="H141" s="174" t="str">
        <f>IF(A140=$D$8,SUM($H$25:H140),IF(A140&gt;$D$8,"",F141+G141))</f>
        <v/>
      </c>
      <c r="I141" s="185" t="str">
        <f t="shared" si="40"/>
        <v/>
      </c>
      <c r="J141" s="185" t="str">
        <f t="shared" si="41"/>
        <v/>
      </c>
      <c r="K141" s="185"/>
      <c r="L141" s="185" t="str">
        <f t="shared" si="42"/>
        <v/>
      </c>
      <c r="M141" s="174" t="str">
        <f t="shared" si="37"/>
        <v/>
      </c>
      <c r="N141" s="174" t="str">
        <f t="shared" si="36"/>
        <v/>
      </c>
      <c r="O141" s="187"/>
      <c r="P141" s="181" t="str">
        <f>IF(A140=$D$8,XIRR(R$24:R140,C$24:C140),"")</f>
        <v/>
      </c>
      <c r="Q141" s="185" t="str">
        <f t="shared" si="35"/>
        <v/>
      </c>
      <c r="R141" s="177">
        <f t="shared" si="31"/>
        <v>0</v>
      </c>
      <c r="S141" s="178" t="e">
        <f t="shared" ca="1" si="32"/>
        <v>#VALUE!</v>
      </c>
      <c r="T141" s="178" t="e">
        <f t="shared" ca="1" si="33"/>
        <v>#VALUE!</v>
      </c>
      <c r="U141" s="178" t="e">
        <f t="shared" ca="1" si="43"/>
        <v>#VALUE!</v>
      </c>
      <c r="V141" s="183" t="e">
        <f t="shared" ca="1" si="44"/>
        <v>#VALUE!</v>
      </c>
      <c r="W141" s="184" t="e">
        <f t="shared" ca="1" si="28"/>
        <v>#VALUE!</v>
      </c>
    </row>
    <row r="142" spans="1:23" hidden="1" x14ac:dyDescent="0.25">
      <c r="A142" s="179" t="str">
        <f t="shared" si="34"/>
        <v/>
      </c>
      <c r="B142" s="173" t="e">
        <f t="shared" ca="1" si="29"/>
        <v>#VALUE!</v>
      </c>
      <c r="C142" s="173" t="e">
        <f t="shared" ca="1" si="30"/>
        <v>#VALUE!</v>
      </c>
      <c r="D142" s="179" t="str">
        <f t="shared" si="38"/>
        <v/>
      </c>
      <c r="E142" s="174" t="str">
        <f t="shared" si="39"/>
        <v/>
      </c>
      <c r="F142" s="174" t="str">
        <f>IF(AND(A141="",A143=""),"",IF(A142="",ROUND(SUM($F$25:F141),2),IF(A142=$D$8,$E$24-ROUND(SUM($F$25:F141),2),ROUND($E$24/$D$8,2))))</f>
        <v/>
      </c>
      <c r="G142" s="156" t="str">
        <f>IF(A141=$D$8,ROUND(SUM($G$25:G141),2),IF(A142&gt;$F$8,"",IF(T142&lt;&gt;T141,ROUND(SUM(V142*$F$9*E141/T142,W142*$F$9*E141/T141),2),ROUND(E141*$F$9*D142/T141,2))))</f>
        <v/>
      </c>
      <c r="H142" s="174" t="str">
        <f>IF(A141=$D$8,SUM($H$25:H141),IF(A141&gt;$D$8,"",F142+G142))</f>
        <v/>
      </c>
      <c r="I142" s="185" t="str">
        <f t="shared" si="40"/>
        <v/>
      </c>
      <c r="J142" s="185" t="str">
        <f t="shared" si="41"/>
        <v/>
      </c>
      <c r="K142" s="185"/>
      <c r="L142" s="185" t="str">
        <f t="shared" si="42"/>
        <v/>
      </c>
      <c r="M142" s="174" t="str">
        <f t="shared" si="37"/>
        <v/>
      </c>
      <c r="N142" s="174" t="str">
        <f t="shared" si="36"/>
        <v/>
      </c>
      <c r="O142" s="187"/>
      <c r="P142" s="181" t="str">
        <f>IF(A141=$D$8,XIRR(R$24:R141,C$24:C141),"")</f>
        <v/>
      </c>
      <c r="Q142" s="185" t="str">
        <f t="shared" si="35"/>
        <v/>
      </c>
      <c r="R142" s="177">
        <f t="shared" si="31"/>
        <v>0</v>
      </c>
      <c r="S142" s="178" t="e">
        <f t="shared" ca="1" si="32"/>
        <v>#VALUE!</v>
      </c>
      <c r="T142" s="178" t="e">
        <f t="shared" ca="1" si="33"/>
        <v>#VALUE!</v>
      </c>
      <c r="U142" s="178" t="e">
        <f t="shared" ca="1" si="43"/>
        <v>#VALUE!</v>
      </c>
      <c r="V142" s="183" t="e">
        <f t="shared" ca="1" si="44"/>
        <v>#VALUE!</v>
      </c>
      <c r="W142" s="184" t="e">
        <f t="shared" ca="1" si="28"/>
        <v>#VALUE!</v>
      </c>
    </row>
    <row r="143" spans="1:23" hidden="1" x14ac:dyDescent="0.25">
      <c r="A143" s="179" t="str">
        <f t="shared" si="34"/>
        <v/>
      </c>
      <c r="B143" s="173" t="e">
        <f t="shared" ca="1" si="29"/>
        <v>#VALUE!</v>
      </c>
      <c r="C143" s="173" t="e">
        <f t="shared" ca="1" si="30"/>
        <v>#VALUE!</v>
      </c>
      <c r="D143" s="179" t="str">
        <f t="shared" si="38"/>
        <v/>
      </c>
      <c r="E143" s="174" t="str">
        <f t="shared" si="39"/>
        <v/>
      </c>
      <c r="F143" s="174" t="str">
        <f>IF(AND(A142="",A144=""),"",IF(A143="",ROUND(SUM($F$25:F142),2),IF(A143=$D$8,$E$24-ROUND(SUM($F$25:F142),2),ROUND($E$24/$D$8,2))))</f>
        <v/>
      </c>
      <c r="G143" s="156" t="str">
        <f>IF(A142=$D$8,ROUND(SUM($G$25:G142),2),IF(A143&gt;$F$8,"",IF(T143&lt;&gt;T142,ROUND(SUM(V143*$F$9*E142/T143,W143*$F$9*E142/T142),2),ROUND(E142*$F$9*D143/T142,2))))</f>
        <v/>
      </c>
      <c r="H143" s="174" t="str">
        <f>IF(A142=$D$8,SUM($H$25:H142),IF(A142&gt;$D$8,"",F143+G143))</f>
        <v/>
      </c>
      <c r="I143" s="185" t="str">
        <f t="shared" si="40"/>
        <v/>
      </c>
      <c r="J143" s="185" t="str">
        <f t="shared" si="41"/>
        <v/>
      </c>
      <c r="K143" s="185"/>
      <c r="L143" s="185" t="str">
        <f t="shared" si="42"/>
        <v/>
      </c>
      <c r="M143" s="174" t="str">
        <f t="shared" si="37"/>
        <v/>
      </c>
      <c r="N143" s="174" t="str">
        <f t="shared" si="36"/>
        <v/>
      </c>
      <c r="O143" s="187"/>
      <c r="P143" s="181" t="str">
        <f>IF(A142=$D$8,XIRR(R$24:R142,C$24:C142),"")</f>
        <v/>
      </c>
      <c r="Q143" s="185" t="str">
        <f t="shared" si="35"/>
        <v/>
      </c>
      <c r="R143" s="177">
        <f t="shared" si="31"/>
        <v>0</v>
      </c>
      <c r="S143" s="178" t="e">
        <f t="shared" ca="1" si="32"/>
        <v>#VALUE!</v>
      </c>
      <c r="T143" s="178" t="e">
        <f t="shared" ca="1" si="33"/>
        <v>#VALUE!</v>
      </c>
      <c r="U143" s="178" t="e">
        <f t="shared" ca="1" si="43"/>
        <v>#VALUE!</v>
      </c>
      <c r="V143" s="183" t="e">
        <f t="shared" ca="1" si="44"/>
        <v>#VALUE!</v>
      </c>
      <c r="W143" s="184" t="e">
        <f t="shared" ca="1" si="28"/>
        <v>#VALUE!</v>
      </c>
    </row>
    <row r="144" spans="1:23" hidden="1" x14ac:dyDescent="0.25">
      <c r="A144" s="179" t="str">
        <f t="shared" si="34"/>
        <v/>
      </c>
      <c r="B144" s="173" t="e">
        <f t="shared" ca="1" si="29"/>
        <v>#VALUE!</v>
      </c>
      <c r="C144" s="173" t="e">
        <f t="shared" ca="1" si="30"/>
        <v>#VALUE!</v>
      </c>
      <c r="D144" s="179" t="str">
        <f t="shared" si="38"/>
        <v/>
      </c>
      <c r="E144" s="174" t="str">
        <f t="shared" si="39"/>
        <v/>
      </c>
      <c r="F144" s="174" t="str">
        <f>IF(AND(A143="",A145=""),"",IF(A144="",ROUND(SUM($F$25:F143),2),IF(A144=$D$8,$E$24-ROUND(SUM($F$25:F143),2),ROUND($E$24/$D$8,2))))</f>
        <v/>
      </c>
      <c r="G144" s="156" t="str">
        <f>IF(A143=$D$8,ROUND(SUM($G$25:G143),2),IF(A144&gt;$F$8,"",IF(T144&lt;&gt;T143,ROUND(SUM(V144*$F$9*E143/T144,W144*$F$9*E143/T143),2),ROUND(E143*$F$9*D144/T143,2))))</f>
        <v/>
      </c>
      <c r="H144" s="174" t="str">
        <f>IF(A143=$D$8,SUM($H$25:H143),IF(A143&gt;$D$8,"",F144+G144))</f>
        <v/>
      </c>
      <c r="I144" s="185" t="str">
        <f t="shared" si="40"/>
        <v/>
      </c>
      <c r="J144" s="185" t="str">
        <f t="shared" si="41"/>
        <v/>
      </c>
      <c r="K144" s="185"/>
      <c r="L144" s="185" t="str">
        <f t="shared" si="42"/>
        <v/>
      </c>
      <c r="M144" s="174" t="str">
        <f t="shared" si="37"/>
        <v/>
      </c>
      <c r="N144" s="174" t="str">
        <f t="shared" si="36"/>
        <v/>
      </c>
      <c r="O144" s="187"/>
      <c r="P144" s="181" t="str">
        <f>IF(A143=$D$8,XIRR(R$24:R143,C$24:C143),"")</f>
        <v/>
      </c>
      <c r="Q144" s="185" t="str">
        <f t="shared" si="35"/>
        <v/>
      </c>
      <c r="R144" s="177">
        <f t="shared" si="31"/>
        <v>0</v>
      </c>
      <c r="S144" s="178" t="e">
        <f t="shared" ca="1" si="32"/>
        <v>#VALUE!</v>
      </c>
      <c r="T144" s="178" t="e">
        <f t="shared" ca="1" si="33"/>
        <v>#VALUE!</v>
      </c>
      <c r="U144" s="178" t="e">
        <f t="shared" ca="1" si="43"/>
        <v>#VALUE!</v>
      </c>
      <c r="V144" s="183" t="e">
        <f t="shared" ca="1" si="44"/>
        <v>#VALUE!</v>
      </c>
      <c r="W144" s="184" t="e">
        <f t="shared" ca="1" si="28"/>
        <v>#VALUE!</v>
      </c>
    </row>
    <row r="145" spans="1:23" hidden="1" x14ac:dyDescent="0.25">
      <c r="A145" s="179" t="str">
        <f t="shared" si="34"/>
        <v/>
      </c>
      <c r="B145" s="173" t="e">
        <f t="shared" ca="1" si="29"/>
        <v>#VALUE!</v>
      </c>
      <c r="C145" s="173" t="e">
        <f t="shared" ca="1" si="30"/>
        <v>#VALUE!</v>
      </c>
      <c r="D145" s="179" t="str">
        <f t="shared" si="38"/>
        <v/>
      </c>
      <c r="E145" s="174" t="str">
        <f t="shared" si="39"/>
        <v/>
      </c>
      <c r="F145" s="174" t="str">
        <f>IF(AND(A144="",A146=""),"",IF(A145="",ROUND(SUM($F$25:F144),2),IF(A145=$D$8,$E$24-ROUND(SUM($F$25:F144),2),ROUND($E$24/$D$8,2))))</f>
        <v/>
      </c>
      <c r="G145" s="156" t="str">
        <f>IF(A144=$D$8,ROUND(SUM($G$25:G144),2),IF(A145&gt;$F$8,"",IF(T145&lt;&gt;T144,ROUND(SUM(V145*$F$9*E144/T145,W145*$F$9*E144/T144),2),ROUND(E144*$F$9*D145/T144,2))))</f>
        <v/>
      </c>
      <c r="H145" s="174" t="str">
        <f>IF(A144=$D$8,SUM($H$25:H144),IF(A144&gt;$D$8,"",F145+G145))</f>
        <v/>
      </c>
      <c r="I145" s="185" t="str">
        <f t="shared" si="40"/>
        <v/>
      </c>
      <c r="J145" s="185" t="str">
        <f t="shared" si="41"/>
        <v/>
      </c>
      <c r="K145" s="185" t="str">
        <f>IF($F$8&gt;120,($O$8+$O$10),IF($A$144=$F$8,$K$24*$G$8,""))</f>
        <v/>
      </c>
      <c r="L145" s="185" t="str">
        <f t="shared" si="42"/>
        <v/>
      </c>
      <c r="M145" s="174" t="str">
        <f t="shared" si="37"/>
        <v/>
      </c>
      <c r="N145" s="185" t="str">
        <f>IF($F$8&gt;120,($N$14),IF(A144=$F$8,N133+N121+N109+N97+N85+N73+N61+N49+N37+N24,""))</f>
        <v/>
      </c>
      <c r="O145" s="187"/>
      <c r="P145" s="181" t="str">
        <f>IF(A144=$D$8,XIRR(R$24:R144,C$24:C144),"")</f>
        <v/>
      </c>
      <c r="Q145" s="185" t="str">
        <f t="shared" si="35"/>
        <v/>
      </c>
      <c r="R145" s="177">
        <f t="shared" si="31"/>
        <v>0</v>
      </c>
      <c r="S145" s="178" t="e">
        <f t="shared" ca="1" si="32"/>
        <v>#VALUE!</v>
      </c>
      <c r="T145" s="178" t="e">
        <f t="shared" ca="1" si="33"/>
        <v>#VALUE!</v>
      </c>
      <c r="U145" s="178" t="e">
        <f t="shared" ca="1" si="43"/>
        <v>#VALUE!</v>
      </c>
      <c r="V145" s="183" t="e">
        <f t="shared" ca="1" si="44"/>
        <v>#VALUE!</v>
      </c>
      <c r="W145" s="184" t="e">
        <f t="shared" ca="1" si="28"/>
        <v>#VALUE!</v>
      </c>
    </row>
    <row r="146" spans="1:23" hidden="1" x14ac:dyDescent="0.25">
      <c r="A146" s="179" t="str">
        <f t="shared" si="34"/>
        <v/>
      </c>
      <c r="B146" s="173" t="e">
        <f t="shared" ca="1" si="29"/>
        <v>#VALUE!</v>
      </c>
      <c r="C146" s="173" t="e">
        <f t="shared" ca="1" si="30"/>
        <v>#VALUE!</v>
      </c>
      <c r="D146" s="179" t="str">
        <f t="shared" si="38"/>
        <v/>
      </c>
      <c r="E146" s="174" t="str">
        <f t="shared" si="39"/>
        <v/>
      </c>
      <c r="F146" s="174" t="str">
        <f>IF(AND(A145="",A147=""),"",IF(A146="",ROUND(SUM($F$25:F145),2),IF(A146=$D$8,$E$24-ROUND(SUM($F$25:F145),2),ROUND($E$24/$D$8,2))))</f>
        <v/>
      </c>
      <c r="G146" s="156" t="str">
        <f>IF(A145=$D$8,ROUND(SUM($G$25:G145),2),IF(A146&gt;$F$8,"",IF(T146&lt;&gt;T145,ROUND(SUM(V146*$F$9*E145/T146,W146*$F$9*E145/T145),2),ROUND(E145*$F$9*D146/T145,2))))</f>
        <v/>
      </c>
      <c r="H146" s="174" t="str">
        <f>IF(A145=$D$8,SUM($H$25:H145),IF(A145&gt;$D$8,"",F146+G146))</f>
        <v/>
      </c>
      <c r="I146" s="185" t="str">
        <f t="shared" si="40"/>
        <v/>
      </c>
      <c r="J146" s="185" t="str">
        <f t="shared" si="41"/>
        <v/>
      </c>
      <c r="K146" s="185"/>
      <c r="L146" s="185" t="str">
        <f t="shared" si="42"/>
        <v/>
      </c>
      <c r="M146" s="174" t="str">
        <f t="shared" si="37"/>
        <v/>
      </c>
      <c r="N146" s="174" t="str">
        <f t="shared" si="36"/>
        <v/>
      </c>
      <c r="O146" s="187"/>
      <c r="P146" s="181" t="str">
        <f>IF(A145=$D$8,XIRR(R$24:R145,C$24:C145),"")</f>
        <v/>
      </c>
      <c r="Q146" s="185" t="str">
        <f t="shared" si="35"/>
        <v/>
      </c>
      <c r="R146" s="177">
        <f t="shared" si="31"/>
        <v>0</v>
      </c>
      <c r="S146" s="178" t="e">
        <f t="shared" ca="1" si="32"/>
        <v>#VALUE!</v>
      </c>
      <c r="T146" s="178" t="e">
        <f t="shared" ca="1" si="33"/>
        <v>#VALUE!</v>
      </c>
      <c r="U146" s="178" t="e">
        <f t="shared" ca="1" si="43"/>
        <v>#VALUE!</v>
      </c>
      <c r="V146" s="183" t="e">
        <f t="shared" ca="1" si="44"/>
        <v>#VALUE!</v>
      </c>
      <c r="W146" s="184" t="e">
        <f t="shared" ca="1" si="28"/>
        <v>#VALUE!</v>
      </c>
    </row>
    <row r="147" spans="1:23" hidden="1" x14ac:dyDescent="0.25">
      <c r="A147" s="179" t="str">
        <f t="shared" si="34"/>
        <v/>
      </c>
      <c r="B147" s="173" t="e">
        <f t="shared" ca="1" si="29"/>
        <v>#VALUE!</v>
      </c>
      <c r="C147" s="173" t="e">
        <f t="shared" ca="1" si="30"/>
        <v>#VALUE!</v>
      </c>
      <c r="D147" s="179" t="str">
        <f t="shared" si="38"/>
        <v/>
      </c>
      <c r="E147" s="174" t="str">
        <f t="shared" si="39"/>
        <v/>
      </c>
      <c r="F147" s="174" t="str">
        <f>IF(AND(A146="",A148=""),"",IF(A147="",ROUND(SUM($F$25:F146),2),IF(A147=$D$8,$E$24-ROUND(SUM($F$25:F146),2),ROUND($E$24/$D$8,2))))</f>
        <v/>
      </c>
      <c r="G147" s="156" t="str">
        <f>IF(A146=$D$8,ROUND(SUM($G$25:G146),2),IF(A147&gt;$F$8,"",IF(T147&lt;&gt;T146,ROUND(SUM(V147*$F$9*E146/T147,W147*$F$9*E146/T146),2),ROUND(E146*$F$9*D147/T146,2))))</f>
        <v/>
      </c>
      <c r="H147" s="174" t="str">
        <f>IF(A146=$D$8,SUM($H$25:H146),IF(A146&gt;$D$8,"",F147+G147))</f>
        <v/>
      </c>
      <c r="I147" s="185" t="str">
        <f t="shared" si="40"/>
        <v/>
      </c>
      <c r="J147" s="185" t="str">
        <f t="shared" si="41"/>
        <v/>
      </c>
      <c r="K147" s="185"/>
      <c r="L147" s="185" t="str">
        <f t="shared" si="42"/>
        <v/>
      </c>
      <c r="M147" s="174" t="str">
        <f t="shared" si="37"/>
        <v/>
      </c>
      <c r="N147" s="174" t="str">
        <f t="shared" si="36"/>
        <v/>
      </c>
      <c r="O147" s="187"/>
      <c r="P147" s="181" t="str">
        <f>IF(A146=$D$8,XIRR(R$24:R146,C$24:C146),"")</f>
        <v/>
      </c>
      <c r="Q147" s="185" t="str">
        <f t="shared" si="35"/>
        <v/>
      </c>
      <c r="R147" s="177">
        <f t="shared" si="31"/>
        <v>0</v>
      </c>
      <c r="S147" s="178" t="e">
        <f t="shared" ca="1" si="32"/>
        <v>#VALUE!</v>
      </c>
      <c r="T147" s="178" t="e">
        <f t="shared" ca="1" si="33"/>
        <v>#VALUE!</v>
      </c>
      <c r="U147" s="178" t="e">
        <f t="shared" ca="1" si="43"/>
        <v>#VALUE!</v>
      </c>
      <c r="V147" s="183" t="e">
        <f t="shared" ca="1" si="44"/>
        <v>#VALUE!</v>
      </c>
      <c r="W147" s="184" t="e">
        <f t="shared" ca="1" si="28"/>
        <v>#VALUE!</v>
      </c>
    </row>
    <row r="148" spans="1:23" hidden="1" x14ac:dyDescent="0.25">
      <c r="A148" s="179" t="str">
        <f t="shared" si="34"/>
        <v/>
      </c>
      <c r="B148" s="173" t="e">
        <f t="shared" ca="1" si="29"/>
        <v>#VALUE!</v>
      </c>
      <c r="C148" s="173" t="e">
        <f t="shared" ca="1" si="30"/>
        <v>#VALUE!</v>
      </c>
      <c r="D148" s="179" t="str">
        <f t="shared" si="38"/>
        <v/>
      </c>
      <c r="E148" s="174" t="str">
        <f t="shared" si="39"/>
        <v/>
      </c>
      <c r="F148" s="174" t="str">
        <f>IF(AND(A147="",A149=""),"",IF(A148="",ROUND(SUM($F$25:F147),2),IF(A148=$D$8,$E$24-ROUND(SUM($F$25:F147),2),ROUND($E$24/$D$8,2))))</f>
        <v/>
      </c>
      <c r="G148" s="156" t="str">
        <f>IF(A147=$D$8,ROUND(SUM($G$25:G147),2),IF(A148&gt;$F$8,"",IF(T148&lt;&gt;T147,ROUND(SUM(V148*$F$9*E147/T148,W148*$F$9*E147/T147),2),ROUND(E147*$F$9*D148/T147,2))))</f>
        <v/>
      </c>
      <c r="H148" s="174" t="str">
        <f>IF(A147=$D$8,SUM($H$25:H147),IF(A147&gt;$D$8,"",F148+G148))</f>
        <v/>
      </c>
      <c r="I148" s="185" t="str">
        <f t="shared" si="40"/>
        <v/>
      </c>
      <c r="J148" s="185" t="str">
        <f t="shared" si="41"/>
        <v/>
      </c>
      <c r="K148" s="185"/>
      <c r="L148" s="185" t="str">
        <f t="shared" si="42"/>
        <v/>
      </c>
      <c r="M148" s="174" t="str">
        <f t="shared" si="37"/>
        <v/>
      </c>
      <c r="N148" s="174" t="str">
        <f t="shared" si="36"/>
        <v/>
      </c>
      <c r="O148" s="187"/>
      <c r="P148" s="181" t="str">
        <f>IF(A147=$D$8,XIRR(R$24:R147,C$24:C147),"")</f>
        <v/>
      </c>
      <c r="Q148" s="185" t="str">
        <f t="shared" si="35"/>
        <v/>
      </c>
      <c r="R148" s="177">
        <f t="shared" si="31"/>
        <v>0</v>
      </c>
      <c r="S148" s="178" t="e">
        <f t="shared" ca="1" si="32"/>
        <v>#VALUE!</v>
      </c>
      <c r="T148" s="178" t="e">
        <f t="shared" ca="1" si="33"/>
        <v>#VALUE!</v>
      </c>
      <c r="U148" s="178" t="e">
        <f t="shared" ca="1" si="43"/>
        <v>#VALUE!</v>
      </c>
      <c r="V148" s="183" t="e">
        <f t="shared" ca="1" si="44"/>
        <v>#VALUE!</v>
      </c>
      <c r="W148" s="184" t="e">
        <f t="shared" ca="1" si="28"/>
        <v>#VALUE!</v>
      </c>
    </row>
    <row r="149" spans="1:23" hidden="1" x14ac:dyDescent="0.25">
      <c r="A149" s="179" t="str">
        <f t="shared" si="34"/>
        <v/>
      </c>
      <c r="B149" s="173" t="e">
        <f t="shared" ca="1" si="29"/>
        <v>#VALUE!</v>
      </c>
      <c r="C149" s="173" t="e">
        <f t="shared" ca="1" si="30"/>
        <v>#VALUE!</v>
      </c>
      <c r="D149" s="179" t="str">
        <f t="shared" si="38"/>
        <v/>
      </c>
      <c r="E149" s="174" t="str">
        <f t="shared" si="39"/>
        <v/>
      </c>
      <c r="F149" s="174" t="str">
        <f>IF(AND(A148="",A150=""),"",IF(A149="",ROUND(SUM($F$25:F148),2),IF(A149=$D$8,$E$24-ROUND(SUM($F$25:F148),2),ROUND($E$24/$D$8,2))))</f>
        <v/>
      </c>
      <c r="G149" s="156" t="str">
        <f>IF(A148=$D$8,ROUND(SUM($G$25:G148),2),IF(A149&gt;$F$8,"",IF(T149&lt;&gt;T148,ROUND(SUM(V149*$F$9*E148/T149,W149*$F$9*E148/T148),2),ROUND(E148*$F$9*D149/T148,2))))</f>
        <v/>
      </c>
      <c r="H149" s="174" t="str">
        <f>IF(A148=$D$8,SUM($H$25:H148),IF(A148&gt;$D$8,"",F149+G149))</f>
        <v/>
      </c>
      <c r="I149" s="185" t="str">
        <f t="shared" si="40"/>
        <v/>
      </c>
      <c r="J149" s="185" t="str">
        <f t="shared" si="41"/>
        <v/>
      </c>
      <c r="K149" s="185"/>
      <c r="L149" s="185" t="str">
        <f t="shared" si="42"/>
        <v/>
      </c>
      <c r="M149" s="174" t="str">
        <f t="shared" si="37"/>
        <v/>
      </c>
      <c r="N149" s="174" t="str">
        <f t="shared" si="36"/>
        <v/>
      </c>
      <c r="O149" s="187"/>
      <c r="P149" s="181" t="str">
        <f>IF(A148=$D$8,XIRR(R$24:R148,C$24:C148),"")</f>
        <v/>
      </c>
      <c r="Q149" s="185" t="str">
        <f t="shared" si="35"/>
        <v/>
      </c>
      <c r="R149" s="177">
        <f t="shared" si="31"/>
        <v>0</v>
      </c>
      <c r="S149" s="178" t="e">
        <f t="shared" ca="1" si="32"/>
        <v>#VALUE!</v>
      </c>
      <c r="T149" s="178" t="e">
        <f t="shared" ca="1" si="33"/>
        <v>#VALUE!</v>
      </c>
      <c r="U149" s="178" t="e">
        <f t="shared" ca="1" si="43"/>
        <v>#VALUE!</v>
      </c>
      <c r="V149" s="183" t="e">
        <f t="shared" ca="1" si="44"/>
        <v>#VALUE!</v>
      </c>
      <c r="W149" s="184" t="e">
        <f t="shared" ref="W149:W212" ca="1" si="45">D149-V149</f>
        <v>#VALUE!</v>
      </c>
    </row>
    <row r="150" spans="1:23" hidden="1" x14ac:dyDescent="0.25">
      <c r="A150" s="179" t="str">
        <f t="shared" si="34"/>
        <v/>
      </c>
      <c r="B150" s="173" t="e">
        <f t="shared" ca="1" si="29"/>
        <v>#VALUE!</v>
      </c>
      <c r="C150" s="173" t="e">
        <f t="shared" ca="1" si="30"/>
        <v>#VALUE!</v>
      </c>
      <c r="D150" s="179" t="str">
        <f t="shared" si="38"/>
        <v/>
      </c>
      <c r="E150" s="174" t="str">
        <f t="shared" si="39"/>
        <v/>
      </c>
      <c r="F150" s="174" t="str">
        <f>IF(AND(A149="",A151=""),"",IF(A150="",ROUND(SUM($F$25:F149),2),IF(A150=$D$8,$E$24-ROUND(SUM($F$25:F149),2),ROUND($E$24/$D$8,2))))</f>
        <v/>
      </c>
      <c r="G150" s="156" t="str">
        <f>IF(A149=$D$8,ROUND(SUM($G$25:G149),2),IF(A150&gt;$F$8,"",IF(T150&lt;&gt;T149,ROUND(SUM(V150*$F$9*E149/T150,W150*$F$9*E149/T149),2),ROUND(E149*$F$9*D150/T149,2))))</f>
        <v/>
      </c>
      <c r="H150" s="174" t="str">
        <f>IF(A149=$D$8,SUM($H$25:H149),IF(A149&gt;$D$8,"",F150+G150))</f>
        <v/>
      </c>
      <c r="I150" s="185" t="str">
        <f t="shared" si="40"/>
        <v/>
      </c>
      <c r="J150" s="185" t="str">
        <f t="shared" si="41"/>
        <v/>
      </c>
      <c r="K150" s="185"/>
      <c r="L150" s="185" t="str">
        <f t="shared" si="42"/>
        <v/>
      </c>
      <c r="M150" s="174" t="str">
        <f t="shared" si="37"/>
        <v/>
      </c>
      <c r="N150" s="174" t="str">
        <f t="shared" si="36"/>
        <v/>
      </c>
      <c r="O150" s="187"/>
      <c r="P150" s="181" t="str">
        <f>IF(A149=$D$8,XIRR(R$24:R149,C$24:C149),"")</f>
        <v/>
      </c>
      <c r="Q150" s="185" t="str">
        <f t="shared" si="35"/>
        <v/>
      </c>
      <c r="R150" s="177">
        <f t="shared" si="31"/>
        <v>0</v>
      </c>
      <c r="S150" s="178" t="e">
        <f t="shared" ca="1" si="32"/>
        <v>#VALUE!</v>
      </c>
      <c r="T150" s="178" t="e">
        <f t="shared" ca="1" si="33"/>
        <v>#VALUE!</v>
      </c>
      <c r="U150" s="178" t="e">
        <f t="shared" ca="1" si="43"/>
        <v>#VALUE!</v>
      </c>
      <c r="V150" s="183" t="e">
        <f t="shared" ca="1" si="44"/>
        <v>#VALUE!</v>
      </c>
      <c r="W150" s="184" t="e">
        <f t="shared" ca="1" si="45"/>
        <v>#VALUE!</v>
      </c>
    </row>
    <row r="151" spans="1:23" hidden="1" x14ac:dyDescent="0.25">
      <c r="A151" s="179" t="str">
        <f t="shared" si="34"/>
        <v/>
      </c>
      <c r="B151" s="173" t="e">
        <f t="shared" ca="1" si="29"/>
        <v>#VALUE!</v>
      </c>
      <c r="C151" s="173" t="e">
        <f t="shared" ca="1" si="30"/>
        <v>#VALUE!</v>
      </c>
      <c r="D151" s="179" t="str">
        <f t="shared" si="38"/>
        <v/>
      </c>
      <c r="E151" s="174" t="str">
        <f t="shared" si="39"/>
        <v/>
      </c>
      <c r="F151" s="174" t="str">
        <f>IF(AND(A150="",A152=""),"",IF(A151="",ROUND(SUM($F$25:F150),2),IF(A151=$D$8,$E$24-ROUND(SUM($F$25:F150),2),ROUND($E$24/$D$8,2))))</f>
        <v/>
      </c>
      <c r="G151" s="156" t="str">
        <f>IF(A150=$D$8,ROUND(SUM($G$25:G150),2),IF(A151&gt;$F$8,"",IF(T151&lt;&gt;T150,ROUND(SUM(V151*$F$9*E150/T151,W151*$F$9*E150/T150),2),ROUND(E150*$F$9*D151/T150,2))))</f>
        <v/>
      </c>
      <c r="H151" s="174" t="str">
        <f>IF(A150=$D$8,SUM($H$25:H150),IF(A150&gt;$D$8,"",F151+G151))</f>
        <v/>
      </c>
      <c r="I151" s="185" t="str">
        <f t="shared" si="40"/>
        <v/>
      </c>
      <c r="J151" s="185" t="str">
        <f t="shared" si="41"/>
        <v/>
      </c>
      <c r="K151" s="185"/>
      <c r="L151" s="185" t="str">
        <f t="shared" si="42"/>
        <v/>
      </c>
      <c r="M151" s="174" t="str">
        <f t="shared" si="37"/>
        <v/>
      </c>
      <c r="N151" s="174" t="str">
        <f t="shared" si="36"/>
        <v/>
      </c>
      <c r="O151" s="187"/>
      <c r="P151" s="181" t="str">
        <f>IF(A150=$D$8,XIRR(R$24:R150,C$24:C150),"")</f>
        <v/>
      </c>
      <c r="Q151" s="185" t="str">
        <f t="shared" si="35"/>
        <v/>
      </c>
      <c r="R151" s="177">
        <f t="shared" si="31"/>
        <v>0</v>
      </c>
      <c r="S151" s="178" t="e">
        <f t="shared" ca="1" si="32"/>
        <v>#VALUE!</v>
      </c>
      <c r="T151" s="178" t="e">
        <f t="shared" ca="1" si="33"/>
        <v>#VALUE!</v>
      </c>
      <c r="U151" s="178" t="e">
        <f t="shared" ca="1" si="43"/>
        <v>#VALUE!</v>
      </c>
      <c r="V151" s="183" t="e">
        <f t="shared" ca="1" si="44"/>
        <v>#VALUE!</v>
      </c>
      <c r="W151" s="184" t="e">
        <f t="shared" ca="1" si="45"/>
        <v>#VALUE!</v>
      </c>
    </row>
    <row r="152" spans="1:23" hidden="1" x14ac:dyDescent="0.25">
      <c r="A152" s="179" t="str">
        <f t="shared" si="34"/>
        <v/>
      </c>
      <c r="B152" s="173" t="e">
        <f t="shared" ca="1" si="29"/>
        <v>#VALUE!</v>
      </c>
      <c r="C152" s="173" t="e">
        <f t="shared" ca="1" si="30"/>
        <v>#VALUE!</v>
      </c>
      <c r="D152" s="179" t="str">
        <f t="shared" si="38"/>
        <v/>
      </c>
      <c r="E152" s="174" t="str">
        <f t="shared" si="39"/>
        <v/>
      </c>
      <c r="F152" s="174" t="str">
        <f>IF(AND(A151="",A153=""),"",IF(A152="",ROUND(SUM($F$25:F151),2),IF(A152=$D$8,$E$24-ROUND(SUM($F$25:F151),2),ROUND($E$24/$D$8,2))))</f>
        <v/>
      </c>
      <c r="G152" s="156" t="str">
        <f>IF(A151=$D$8,ROUND(SUM($G$25:G151),2),IF(A152&gt;$F$8,"",IF(T152&lt;&gt;T151,ROUND(SUM(V152*$F$9*E151/T152,W152*$F$9*E151/T151),2),ROUND(E151*$F$9*D152/T151,2))))</f>
        <v/>
      </c>
      <c r="H152" s="174" t="str">
        <f>IF(A151=$D$8,SUM($H$25:H151),IF(A151&gt;$D$8,"",F152+G152))</f>
        <v/>
      </c>
      <c r="I152" s="185" t="str">
        <f t="shared" si="40"/>
        <v/>
      </c>
      <c r="J152" s="185" t="str">
        <f t="shared" si="41"/>
        <v/>
      </c>
      <c r="K152" s="185"/>
      <c r="L152" s="185" t="str">
        <f t="shared" si="42"/>
        <v/>
      </c>
      <c r="M152" s="174" t="str">
        <f t="shared" si="37"/>
        <v/>
      </c>
      <c r="N152" s="174" t="str">
        <f t="shared" si="36"/>
        <v/>
      </c>
      <c r="O152" s="187"/>
      <c r="P152" s="181" t="str">
        <f>IF(A151=$D$8,XIRR(R$24:R151,C$24:C151),"")</f>
        <v/>
      </c>
      <c r="Q152" s="185" t="str">
        <f t="shared" si="35"/>
        <v/>
      </c>
      <c r="R152" s="177">
        <f t="shared" si="31"/>
        <v>0</v>
      </c>
      <c r="S152" s="178" t="e">
        <f t="shared" ca="1" si="32"/>
        <v>#VALUE!</v>
      </c>
      <c r="T152" s="178" t="e">
        <f t="shared" ca="1" si="33"/>
        <v>#VALUE!</v>
      </c>
      <c r="U152" s="178" t="e">
        <f t="shared" ca="1" si="43"/>
        <v>#VALUE!</v>
      </c>
      <c r="V152" s="183" t="e">
        <f t="shared" ca="1" si="44"/>
        <v>#VALUE!</v>
      </c>
      <c r="W152" s="184" t="e">
        <f t="shared" ca="1" si="45"/>
        <v>#VALUE!</v>
      </c>
    </row>
    <row r="153" spans="1:23" hidden="1" x14ac:dyDescent="0.25">
      <c r="A153" s="179" t="str">
        <f t="shared" si="34"/>
        <v/>
      </c>
      <c r="B153" s="173" t="e">
        <f t="shared" ca="1" si="29"/>
        <v>#VALUE!</v>
      </c>
      <c r="C153" s="173" t="e">
        <f t="shared" ca="1" si="30"/>
        <v>#VALUE!</v>
      </c>
      <c r="D153" s="179" t="str">
        <f t="shared" si="38"/>
        <v/>
      </c>
      <c r="E153" s="174" t="str">
        <f t="shared" si="39"/>
        <v/>
      </c>
      <c r="F153" s="174" t="str">
        <f>IF(AND(A152="",A154=""),"",IF(A153="",ROUND(SUM($F$25:F152),2),IF(A153=$D$8,$E$24-ROUND(SUM($F$25:F152),2),ROUND($E$24/$D$8,2))))</f>
        <v/>
      </c>
      <c r="G153" s="156" t="str">
        <f>IF(A152=$D$8,ROUND(SUM($G$25:G152),2),IF(A153&gt;$F$8,"",IF(T153&lt;&gt;T152,ROUND(SUM(V153*$F$9*E152/T153,W153*$F$9*E152/T152),2),ROUND(E152*$F$9*D153/T152,2))))</f>
        <v/>
      </c>
      <c r="H153" s="174" t="str">
        <f>IF(A152=$D$8,SUM($H$25:H152),IF(A152&gt;$D$8,"",F153+G153))</f>
        <v/>
      </c>
      <c r="I153" s="185" t="str">
        <f t="shared" si="40"/>
        <v/>
      </c>
      <c r="J153" s="185" t="str">
        <f t="shared" si="41"/>
        <v/>
      </c>
      <c r="K153" s="185"/>
      <c r="L153" s="185" t="str">
        <f t="shared" si="42"/>
        <v/>
      </c>
      <c r="M153" s="174" t="str">
        <f t="shared" si="37"/>
        <v/>
      </c>
      <c r="N153" s="174" t="str">
        <f t="shared" si="36"/>
        <v/>
      </c>
      <c r="O153" s="187"/>
      <c r="P153" s="181" t="str">
        <f>IF(A152=$D$8,XIRR(R$24:R152,C$24:C152),"")</f>
        <v/>
      </c>
      <c r="Q153" s="185" t="str">
        <f t="shared" si="35"/>
        <v/>
      </c>
      <c r="R153" s="177">
        <f t="shared" si="31"/>
        <v>0</v>
      </c>
      <c r="S153" s="178" t="e">
        <f t="shared" ca="1" si="32"/>
        <v>#VALUE!</v>
      </c>
      <c r="T153" s="178" t="e">
        <f t="shared" ca="1" si="33"/>
        <v>#VALUE!</v>
      </c>
      <c r="U153" s="178" t="e">
        <f t="shared" ca="1" si="43"/>
        <v>#VALUE!</v>
      </c>
      <c r="V153" s="183" t="e">
        <f t="shared" ca="1" si="44"/>
        <v>#VALUE!</v>
      </c>
      <c r="W153" s="184" t="e">
        <f t="shared" ca="1" si="45"/>
        <v>#VALUE!</v>
      </c>
    </row>
    <row r="154" spans="1:23" hidden="1" x14ac:dyDescent="0.25">
      <c r="A154" s="179" t="str">
        <f t="shared" si="34"/>
        <v/>
      </c>
      <c r="B154" s="173" t="e">
        <f t="shared" ref="B154:B217" ca="1" si="46">EDATE($B$24,A154)</f>
        <v>#VALUE!</v>
      </c>
      <c r="C154" s="173" t="e">
        <f t="shared" ref="C154:C217" ca="1" si="47">IF(B154=$D$10,B154-1,(IF(B154&gt;$D$10," ",B154)))</f>
        <v>#VALUE!</v>
      </c>
      <c r="D154" s="179" t="str">
        <f t="shared" si="38"/>
        <v/>
      </c>
      <c r="E154" s="174" t="str">
        <f t="shared" si="39"/>
        <v/>
      </c>
      <c r="F154" s="174" t="str">
        <f>IF(AND(A153="",A155=""),"",IF(A154="",ROUND(SUM($F$25:F153),2),IF(A154=$D$8,$E$24-ROUND(SUM($F$25:F153),2),ROUND($E$24/$D$8,2))))</f>
        <v/>
      </c>
      <c r="G154" s="156" t="str">
        <f>IF(A153=$D$8,ROUND(SUM($G$25:G153),2),IF(A154&gt;$F$8,"",IF(T154&lt;&gt;T153,ROUND(SUM(V154*$F$9*E153/T154,W154*$F$9*E153/T153),2),ROUND(E153*$F$9*D154/T153,2))))</f>
        <v/>
      </c>
      <c r="H154" s="174" t="str">
        <f>IF(A153=$D$8,SUM($H$25:H153),IF(A153&gt;$D$8,"",F154+G154))</f>
        <v/>
      </c>
      <c r="I154" s="185" t="str">
        <f t="shared" si="40"/>
        <v/>
      </c>
      <c r="J154" s="185" t="str">
        <f t="shared" si="41"/>
        <v/>
      </c>
      <c r="K154" s="185"/>
      <c r="L154" s="185" t="str">
        <f t="shared" si="42"/>
        <v/>
      </c>
      <c r="M154" s="174" t="str">
        <f t="shared" si="37"/>
        <v/>
      </c>
      <c r="N154" s="174" t="str">
        <f t="shared" si="36"/>
        <v/>
      </c>
      <c r="O154" s="187"/>
      <c r="P154" s="181" t="str">
        <f>IF(A153=$D$8,XIRR(R$24:R153,C$24:C153),"")</f>
        <v/>
      </c>
      <c r="Q154" s="185" t="str">
        <f t="shared" si="35"/>
        <v/>
      </c>
      <c r="R154" s="177">
        <f t="shared" ref="R154:R217" si="48">SUM(H154:Q154)</f>
        <v>0</v>
      </c>
      <c r="S154" s="178" t="e">
        <f t="shared" ref="S154:S217" ca="1" si="49">IF(C154="","",YEAR(C154))</f>
        <v>#VALUE!</v>
      </c>
      <c r="T154" s="178" t="e">
        <f t="shared" ref="T154:T217" ca="1" si="50">IF(OR(S154=2024,S154=2028,S154=2016,S154=2020,S154=2024,S154=2028,S154=2032,S154=2036,S154=2040),366,365)</f>
        <v>#VALUE!</v>
      </c>
      <c r="U154" s="178" t="e">
        <f t="shared" ca="1" si="43"/>
        <v>#VALUE!</v>
      </c>
      <c r="V154" s="183" t="e">
        <f t="shared" ca="1" si="44"/>
        <v>#VALUE!</v>
      </c>
      <c r="W154" s="184" t="e">
        <f t="shared" ca="1" si="45"/>
        <v>#VALUE!</v>
      </c>
    </row>
    <row r="155" spans="1:23" hidden="1" x14ac:dyDescent="0.25">
      <c r="A155" s="179" t="str">
        <f t="shared" ref="A155:A218" si="51">IF(A154&lt;$D$8,A154+1,"")</f>
        <v/>
      </c>
      <c r="B155" s="173" t="e">
        <f t="shared" ca="1" si="46"/>
        <v>#VALUE!</v>
      </c>
      <c r="C155" s="173" t="e">
        <f t="shared" ca="1" si="47"/>
        <v>#VALUE!</v>
      </c>
      <c r="D155" s="179" t="str">
        <f t="shared" si="38"/>
        <v/>
      </c>
      <c r="E155" s="174" t="str">
        <f t="shared" si="39"/>
        <v/>
      </c>
      <c r="F155" s="174" t="str">
        <f>IF(AND(A154="",A156=""),"",IF(A155="",ROUND(SUM($F$25:F154),2),IF(A155=$D$8,$E$24-ROUND(SUM($F$25:F154),2),ROUND($E$24/$D$8,2))))</f>
        <v/>
      </c>
      <c r="G155" s="156" t="str">
        <f>IF(A154=$D$8,ROUND(SUM($G$25:G154),2),IF(A155&gt;$F$8,"",IF(T155&lt;&gt;T154,ROUND(SUM(V155*$F$9*E154/T155,W155*$F$9*E154/T154),2),ROUND(E154*$F$9*D155/T154,2))))</f>
        <v/>
      </c>
      <c r="H155" s="174" t="str">
        <f>IF(A154=$D$8,SUM($H$25:H154),IF(A154&gt;$D$8,"",F155+G155))</f>
        <v/>
      </c>
      <c r="I155" s="185" t="str">
        <f t="shared" si="40"/>
        <v/>
      </c>
      <c r="J155" s="185" t="str">
        <f t="shared" si="41"/>
        <v/>
      </c>
      <c r="K155" s="185"/>
      <c r="L155" s="185" t="str">
        <f t="shared" si="42"/>
        <v/>
      </c>
      <c r="M155" s="174" t="str">
        <f t="shared" si="37"/>
        <v/>
      </c>
      <c r="N155" s="174" t="str">
        <f t="shared" si="36"/>
        <v/>
      </c>
      <c r="O155" s="187"/>
      <c r="P155" s="181" t="str">
        <f>IF(A154=$D$8,XIRR(R$24:R154,C$24:C154),"")</f>
        <v/>
      </c>
      <c r="Q155" s="185" t="str">
        <f t="shared" si="35"/>
        <v/>
      </c>
      <c r="R155" s="177">
        <f t="shared" si="48"/>
        <v>0</v>
      </c>
      <c r="S155" s="178" t="e">
        <f t="shared" ca="1" si="49"/>
        <v>#VALUE!</v>
      </c>
      <c r="T155" s="178" t="e">
        <f t="shared" ca="1" si="50"/>
        <v>#VALUE!</v>
      </c>
      <c r="U155" s="178" t="e">
        <f t="shared" ca="1" si="43"/>
        <v>#VALUE!</v>
      </c>
      <c r="V155" s="183" t="e">
        <f t="shared" ca="1" si="44"/>
        <v>#VALUE!</v>
      </c>
      <c r="W155" s="184" t="e">
        <f t="shared" ca="1" si="45"/>
        <v>#VALUE!</v>
      </c>
    </row>
    <row r="156" spans="1:23" hidden="1" x14ac:dyDescent="0.25">
      <c r="A156" s="179" t="str">
        <f t="shared" si="51"/>
        <v/>
      </c>
      <c r="B156" s="173" t="e">
        <f t="shared" ca="1" si="46"/>
        <v>#VALUE!</v>
      </c>
      <c r="C156" s="173" t="e">
        <f t="shared" ca="1" si="47"/>
        <v>#VALUE!</v>
      </c>
      <c r="D156" s="179" t="str">
        <f t="shared" si="38"/>
        <v/>
      </c>
      <c r="E156" s="174" t="str">
        <f t="shared" si="39"/>
        <v/>
      </c>
      <c r="F156" s="174" t="str">
        <f>IF(AND(A155="",A157=""),"",IF(A156="",ROUND(SUM($F$25:F155),2),IF(A156=$D$8,$E$24-ROUND(SUM($F$25:F155),2),ROUND($E$24/$D$8,2))))</f>
        <v/>
      </c>
      <c r="G156" s="156" t="str">
        <f>IF(A155=$D$8,ROUND(SUM($G$25:G155),2),IF(A156&gt;$F$8,"",IF(T156&lt;&gt;T155,ROUND(SUM(V156*$F$9*E155/T156,W156*$F$9*E155/T155),2),ROUND(E155*$F$9*D156/T155,2))))</f>
        <v/>
      </c>
      <c r="H156" s="174" t="str">
        <f>IF(A155=$D$8,SUM($H$25:H155),IF(A155&gt;$D$8,"",F156+G156))</f>
        <v/>
      </c>
      <c r="I156" s="185" t="str">
        <f t="shared" si="40"/>
        <v/>
      </c>
      <c r="J156" s="185" t="str">
        <f t="shared" si="41"/>
        <v/>
      </c>
      <c r="K156" s="185"/>
      <c r="L156" s="185" t="str">
        <f t="shared" si="42"/>
        <v/>
      </c>
      <c r="M156" s="174" t="str">
        <f t="shared" si="37"/>
        <v/>
      </c>
      <c r="N156" s="174" t="str">
        <f t="shared" si="36"/>
        <v/>
      </c>
      <c r="O156" s="187"/>
      <c r="P156" s="181" t="str">
        <f>IF(A155=$D$8,XIRR(R$24:R155,C$24:C155),"")</f>
        <v/>
      </c>
      <c r="Q156" s="185" t="str">
        <f t="shared" ref="Q156:Q219" si="52">IF(A155=$D$8,G156+M156+F156+I156+J156+K156+L156+N156+O156,"")</f>
        <v/>
      </c>
      <c r="R156" s="177">
        <f t="shared" si="48"/>
        <v>0</v>
      </c>
      <c r="S156" s="178" t="e">
        <f t="shared" ca="1" si="49"/>
        <v>#VALUE!</v>
      </c>
      <c r="T156" s="178" t="e">
        <f t="shared" ca="1" si="50"/>
        <v>#VALUE!</v>
      </c>
      <c r="U156" s="178" t="e">
        <f t="shared" ca="1" si="43"/>
        <v>#VALUE!</v>
      </c>
      <c r="V156" s="183" t="e">
        <f t="shared" ca="1" si="44"/>
        <v>#VALUE!</v>
      </c>
      <c r="W156" s="184" t="e">
        <f t="shared" ca="1" si="45"/>
        <v>#VALUE!</v>
      </c>
    </row>
    <row r="157" spans="1:23" hidden="1" x14ac:dyDescent="0.25">
      <c r="A157" s="179" t="str">
        <f t="shared" si="51"/>
        <v/>
      </c>
      <c r="B157" s="173" t="e">
        <f t="shared" ca="1" si="46"/>
        <v>#VALUE!</v>
      </c>
      <c r="C157" s="173" t="e">
        <f t="shared" ca="1" si="47"/>
        <v>#VALUE!</v>
      </c>
      <c r="D157" s="179" t="str">
        <f t="shared" si="38"/>
        <v/>
      </c>
      <c r="E157" s="174" t="str">
        <f t="shared" si="39"/>
        <v/>
      </c>
      <c r="F157" s="174" t="str">
        <f>IF(AND(A156="",A158=""),"",IF(A157="",ROUND(SUM($F$25:F156),2),IF(A157=$D$8,$E$24-ROUND(SUM($F$25:F156),2),ROUND($E$24/$D$8,2))))</f>
        <v/>
      </c>
      <c r="G157" s="156" t="str">
        <f>IF(A156=$D$8,ROUND(SUM($G$25:G156),2),IF(A157&gt;$F$8,"",IF(T157&lt;&gt;T156,ROUND(SUM(V157*$F$9*E156/T157,W157*$F$9*E156/T156),2),ROUND(E156*$F$9*D157/T156,2))))</f>
        <v/>
      </c>
      <c r="H157" s="174" t="str">
        <f>IF(A156=$D$8,SUM($H$25:H156),IF(A156&gt;$D$8,"",F157+G157))</f>
        <v/>
      </c>
      <c r="I157" s="185" t="str">
        <f t="shared" si="40"/>
        <v/>
      </c>
      <c r="J157" s="185" t="str">
        <f t="shared" si="41"/>
        <v/>
      </c>
      <c r="K157" s="185" t="str">
        <f>IF($F$8&gt;132,($O$8+$O$10),IF($A$156=$F$8,$K$24*$G$8,""))</f>
        <v/>
      </c>
      <c r="L157" s="185" t="str">
        <f t="shared" si="42"/>
        <v/>
      </c>
      <c r="M157" s="174" t="str">
        <f t="shared" si="37"/>
        <v/>
      </c>
      <c r="N157" s="185" t="str">
        <f>IF($F$8&gt;132,($N$14),IF(A156=$F$8,N145+N133+N121+N109+N97+N85+N73+N61+N49+N37+N24,""))</f>
        <v/>
      </c>
      <c r="O157" s="187"/>
      <c r="P157" s="181" t="str">
        <f>IF(A156=$D$8,XIRR(R$24:R156,C$24:C156),"")</f>
        <v/>
      </c>
      <c r="Q157" s="185" t="str">
        <f t="shared" si="52"/>
        <v/>
      </c>
      <c r="R157" s="177">
        <f t="shared" si="48"/>
        <v>0</v>
      </c>
      <c r="S157" s="178" t="e">
        <f t="shared" ca="1" si="49"/>
        <v>#VALUE!</v>
      </c>
      <c r="T157" s="178" t="e">
        <f t="shared" ca="1" si="50"/>
        <v>#VALUE!</v>
      </c>
      <c r="U157" s="178" t="e">
        <f t="shared" ca="1" si="43"/>
        <v>#VALUE!</v>
      </c>
      <c r="V157" s="183" t="e">
        <f t="shared" ca="1" si="44"/>
        <v>#VALUE!</v>
      </c>
      <c r="W157" s="184" t="e">
        <f t="shared" ca="1" si="45"/>
        <v>#VALUE!</v>
      </c>
    </row>
    <row r="158" spans="1:23" hidden="1" x14ac:dyDescent="0.25">
      <c r="A158" s="179" t="str">
        <f t="shared" si="51"/>
        <v/>
      </c>
      <c r="B158" s="173" t="e">
        <f t="shared" ca="1" si="46"/>
        <v>#VALUE!</v>
      </c>
      <c r="C158" s="173" t="e">
        <f t="shared" ca="1" si="47"/>
        <v>#VALUE!</v>
      </c>
      <c r="D158" s="179" t="str">
        <f t="shared" si="38"/>
        <v/>
      </c>
      <c r="E158" s="174" t="str">
        <f t="shared" si="39"/>
        <v/>
      </c>
      <c r="F158" s="174" t="str">
        <f>IF(AND(A157="",A159=""),"",IF(A158="",ROUND(SUM($F$25:F157),2),IF(A158=$D$8,$E$24-ROUND(SUM($F$25:F157),2),ROUND($E$24/$D$8,2))))</f>
        <v/>
      </c>
      <c r="G158" s="156" t="str">
        <f>IF(A157=$D$8,ROUND(SUM($G$25:G157),2),IF(A158&gt;$F$8,"",IF(T158&lt;&gt;T157,ROUND(SUM(V158*$F$9*E157/T158,W158*$F$9*E157/T157),2),ROUND(E157*$F$9*D158/T157,2))))</f>
        <v/>
      </c>
      <c r="H158" s="174" t="str">
        <f>IF(A157=$D$8,SUM($H$25:H157),IF(A157&gt;$D$8,"",F158+G158))</f>
        <v/>
      </c>
      <c r="I158" s="185" t="str">
        <f t="shared" si="40"/>
        <v/>
      </c>
      <c r="J158" s="185" t="str">
        <f t="shared" si="41"/>
        <v/>
      </c>
      <c r="K158" s="185"/>
      <c r="L158" s="185" t="str">
        <f t="shared" si="42"/>
        <v/>
      </c>
      <c r="M158" s="174" t="str">
        <f t="shared" si="37"/>
        <v/>
      </c>
      <c r="N158" s="174" t="str">
        <f t="shared" ref="N158:N221" si="53">IF(A157=$D$8,$N$24,"")</f>
        <v/>
      </c>
      <c r="O158" s="187"/>
      <c r="P158" s="181" t="str">
        <f>IF(A157=$D$8,XIRR(R$24:R157,C$24:C157),"")</f>
        <v/>
      </c>
      <c r="Q158" s="185" t="str">
        <f t="shared" si="52"/>
        <v/>
      </c>
      <c r="R158" s="177">
        <f t="shared" si="48"/>
        <v>0</v>
      </c>
      <c r="S158" s="178" t="e">
        <f t="shared" ca="1" si="49"/>
        <v>#VALUE!</v>
      </c>
      <c r="T158" s="178" t="e">
        <f t="shared" ca="1" si="50"/>
        <v>#VALUE!</v>
      </c>
      <c r="U158" s="178" t="e">
        <f t="shared" ca="1" si="43"/>
        <v>#VALUE!</v>
      </c>
      <c r="V158" s="183" t="e">
        <f t="shared" ca="1" si="44"/>
        <v>#VALUE!</v>
      </c>
      <c r="W158" s="184" t="e">
        <f t="shared" ca="1" si="45"/>
        <v>#VALUE!</v>
      </c>
    </row>
    <row r="159" spans="1:23" hidden="1" x14ac:dyDescent="0.25">
      <c r="A159" s="179" t="str">
        <f t="shared" si="51"/>
        <v/>
      </c>
      <c r="B159" s="173" t="e">
        <f t="shared" ca="1" si="46"/>
        <v>#VALUE!</v>
      </c>
      <c r="C159" s="173" t="e">
        <f t="shared" ca="1" si="47"/>
        <v>#VALUE!</v>
      </c>
      <c r="D159" s="179" t="str">
        <f t="shared" si="38"/>
        <v/>
      </c>
      <c r="E159" s="174" t="str">
        <f t="shared" si="39"/>
        <v/>
      </c>
      <c r="F159" s="174" t="str">
        <f>IF(AND(A158="",A160=""),"",IF(A159="",ROUND(SUM($F$25:F158),2),IF(A159=$D$8,$E$24-ROUND(SUM($F$25:F158),2),ROUND($E$24/$D$8,2))))</f>
        <v/>
      </c>
      <c r="G159" s="156" t="str">
        <f>IF(A158=$D$8,ROUND(SUM($G$25:G158),2),IF(A159&gt;$F$8,"",IF(T159&lt;&gt;T158,ROUND(SUM(V159*$F$9*E158/T159,W159*$F$9*E158/T158),2),ROUND(E158*$F$9*D159/T158,2))))</f>
        <v/>
      </c>
      <c r="H159" s="174" t="str">
        <f>IF(A158=$D$8,SUM($H$25:H158),IF(A158&gt;$D$8,"",F159+G159))</f>
        <v/>
      </c>
      <c r="I159" s="185" t="str">
        <f t="shared" si="40"/>
        <v/>
      </c>
      <c r="J159" s="185" t="str">
        <f t="shared" si="41"/>
        <v/>
      </c>
      <c r="K159" s="185"/>
      <c r="L159" s="185" t="str">
        <f t="shared" si="42"/>
        <v/>
      </c>
      <c r="M159" s="174" t="str">
        <f t="shared" si="37"/>
        <v/>
      </c>
      <c r="N159" s="174" t="str">
        <f t="shared" si="53"/>
        <v/>
      </c>
      <c r="O159" s="187"/>
      <c r="P159" s="181" t="str">
        <f>IF(A158=$D$8,XIRR(R$24:R158,C$24:C158),"")</f>
        <v/>
      </c>
      <c r="Q159" s="185" t="str">
        <f t="shared" si="52"/>
        <v/>
      </c>
      <c r="R159" s="177">
        <f t="shared" si="48"/>
        <v>0</v>
      </c>
      <c r="S159" s="178" t="e">
        <f t="shared" ca="1" si="49"/>
        <v>#VALUE!</v>
      </c>
      <c r="T159" s="178" t="e">
        <f t="shared" ca="1" si="50"/>
        <v>#VALUE!</v>
      </c>
      <c r="U159" s="178" t="e">
        <f t="shared" ca="1" si="43"/>
        <v>#VALUE!</v>
      </c>
      <c r="V159" s="183" t="e">
        <f t="shared" ca="1" si="44"/>
        <v>#VALUE!</v>
      </c>
      <c r="W159" s="184" t="e">
        <f t="shared" ca="1" si="45"/>
        <v>#VALUE!</v>
      </c>
    </row>
    <row r="160" spans="1:23" hidden="1" x14ac:dyDescent="0.25">
      <c r="A160" s="179" t="str">
        <f t="shared" si="51"/>
        <v/>
      </c>
      <c r="B160" s="173" t="e">
        <f t="shared" ca="1" si="46"/>
        <v>#VALUE!</v>
      </c>
      <c r="C160" s="173" t="e">
        <f t="shared" ca="1" si="47"/>
        <v>#VALUE!</v>
      </c>
      <c r="D160" s="179" t="str">
        <f t="shared" si="38"/>
        <v/>
      </c>
      <c r="E160" s="174" t="str">
        <f t="shared" si="39"/>
        <v/>
      </c>
      <c r="F160" s="174" t="str">
        <f>IF(AND(A159="",A161=""),"",IF(A160="",ROUND(SUM($F$25:F159),2),IF(A160=$D$8,$E$24-ROUND(SUM($F$25:F159),2),ROUND($E$24/$D$8,2))))</f>
        <v/>
      </c>
      <c r="G160" s="156" t="str">
        <f>IF(A159=$D$8,ROUND(SUM($G$25:G159),2),IF(A160&gt;$F$8,"",IF(T160&lt;&gt;T159,ROUND(SUM(V160*$F$9*E159/T160,W160*$F$9*E159/T159),2),ROUND(E159*$F$9*D160/T159,2))))</f>
        <v/>
      </c>
      <c r="H160" s="174" t="str">
        <f>IF(A159=$D$8,SUM($H$25:H159),IF(A159&gt;$D$8,"",F160+G160))</f>
        <v/>
      </c>
      <c r="I160" s="185" t="str">
        <f t="shared" si="40"/>
        <v/>
      </c>
      <c r="J160" s="185" t="str">
        <f t="shared" si="41"/>
        <v/>
      </c>
      <c r="K160" s="185"/>
      <c r="L160" s="185" t="str">
        <f t="shared" si="42"/>
        <v/>
      </c>
      <c r="M160" s="174" t="str">
        <f t="shared" ref="M160:M223" si="54">IF(A159=$D$8,$M$24,"")</f>
        <v/>
      </c>
      <c r="N160" s="174" t="str">
        <f t="shared" si="53"/>
        <v/>
      </c>
      <c r="O160" s="187"/>
      <c r="P160" s="181" t="str">
        <f>IF(A159=$D$8,XIRR(R$24:R159,C$24:C159),"")</f>
        <v/>
      </c>
      <c r="Q160" s="185" t="str">
        <f t="shared" si="52"/>
        <v/>
      </c>
      <c r="R160" s="177">
        <f t="shared" si="48"/>
        <v>0</v>
      </c>
      <c r="S160" s="178" t="e">
        <f t="shared" ca="1" si="49"/>
        <v>#VALUE!</v>
      </c>
      <c r="T160" s="178" t="e">
        <f t="shared" ca="1" si="50"/>
        <v>#VALUE!</v>
      </c>
      <c r="U160" s="178" t="e">
        <f t="shared" ca="1" si="43"/>
        <v>#VALUE!</v>
      </c>
      <c r="V160" s="183" t="e">
        <f t="shared" ca="1" si="44"/>
        <v>#VALUE!</v>
      </c>
      <c r="W160" s="184" t="e">
        <f t="shared" ca="1" si="45"/>
        <v>#VALUE!</v>
      </c>
    </row>
    <row r="161" spans="1:23" hidden="1" x14ac:dyDescent="0.25">
      <c r="A161" s="179" t="str">
        <f t="shared" si="51"/>
        <v/>
      </c>
      <c r="B161" s="173" t="e">
        <f t="shared" ca="1" si="46"/>
        <v>#VALUE!</v>
      </c>
      <c r="C161" s="173" t="e">
        <f t="shared" ca="1" si="47"/>
        <v>#VALUE!</v>
      </c>
      <c r="D161" s="179" t="str">
        <f t="shared" si="38"/>
        <v/>
      </c>
      <c r="E161" s="174" t="str">
        <f t="shared" si="39"/>
        <v/>
      </c>
      <c r="F161" s="174" t="str">
        <f>IF(AND(A160="",A162=""),"",IF(A161="",ROUND(SUM($F$25:F160),2),IF(A161=$D$8,$E$24-ROUND(SUM($F$25:F160),2),ROUND($E$24/$D$8,2))))</f>
        <v/>
      </c>
      <c r="G161" s="156" t="str">
        <f>IF(A160=$D$8,ROUND(SUM($G$25:G160),2),IF(A161&gt;$F$8,"",IF(T161&lt;&gt;T160,ROUND(SUM(V161*$F$9*E160/T161,W161*$F$9*E160/T160),2),ROUND(E160*$F$9*D161/T160,2))))</f>
        <v/>
      </c>
      <c r="H161" s="174" t="str">
        <f>IF(A160=$D$8,SUM($H$25:H160),IF(A160&gt;$D$8,"",F161+G161))</f>
        <v/>
      </c>
      <c r="I161" s="185" t="str">
        <f t="shared" si="40"/>
        <v/>
      </c>
      <c r="J161" s="185" t="str">
        <f t="shared" si="41"/>
        <v/>
      </c>
      <c r="K161" s="185"/>
      <c r="L161" s="185" t="str">
        <f t="shared" si="42"/>
        <v/>
      </c>
      <c r="M161" s="174" t="str">
        <f t="shared" si="54"/>
        <v/>
      </c>
      <c r="N161" s="174" t="str">
        <f t="shared" si="53"/>
        <v/>
      </c>
      <c r="O161" s="187"/>
      <c r="P161" s="181" t="str">
        <f>IF(A160=$D$8,XIRR(R$24:R160,C$24:C160),"")</f>
        <v/>
      </c>
      <c r="Q161" s="185" t="str">
        <f t="shared" si="52"/>
        <v/>
      </c>
      <c r="R161" s="177">
        <f t="shared" si="48"/>
        <v>0</v>
      </c>
      <c r="S161" s="178" t="e">
        <f t="shared" ca="1" si="49"/>
        <v>#VALUE!</v>
      </c>
      <c r="T161" s="178" t="e">
        <f t="shared" ca="1" si="50"/>
        <v>#VALUE!</v>
      </c>
      <c r="U161" s="178" t="e">
        <f t="shared" ca="1" si="43"/>
        <v>#VALUE!</v>
      </c>
      <c r="V161" s="183" t="e">
        <f t="shared" ca="1" si="44"/>
        <v>#VALUE!</v>
      </c>
      <c r="W161" s="184" t="e">
        <f t="shared" ca="1" si="45"/>
        <v>#VALUE!</v>
      </c>
    </row>
    <row r="162" spans="1:23" hidden="1" x14ac:dyDescent="0.25">
      <c r="A162" s="179" t="str">
        <f t="shared" si="51"/>
        <v/>
      </c>
      <c r="B162" s="173" t="e">
        <f t="shared" ca="1" si="46"/>
        <v>#VALUE!</v>
      </c>
      <c r="C162" s="173" t="e">
        <f t="shared" ca="1" si="47"/>
        <v>#VALUE!</v>
      </c>
      <c r="D162" s="179" t="str">
        <f t="shared" si="38"/>
        <v/>
      </c>
      <c r="E162" s="174" t="str">
        <f t="shared" si="39"/>
        <v/>
      </c>
      <c r="F162" s="174" t="str">
        <f>IF(AND(A161="",A163=""),"",IF(A162="",ROUND(SUM($F$25:F161),2),IF(A162=$D$8,$E$24-ROUND(SUM($F$25:F161),2),ROUND($E$24/$D$8,2))))</f>
        <v/>
      </c>
      <c r="G162" s="156" t="str">
        <f>IF(A161=$D$8,ROUND(SUM($G$25:G161),2),IF(A162&gt;$F$8,"",IF(T162&lt;&gt;T161,ROUND(SUM(V162*$F$9*E161/T162,W162*$F$9*E161/T161),2),ROUND(E161*$F$9*D162/T161,2))))</f>
        <v/>
      </c>
      <c r="H162" s="174" t="str">
        <f>IF(A161=$D$8,SUM($H$25:H161),IF(A161&gt;$D$8,"",F162+G162))</f>
        <v/>
      </c>
      <c r="I162" s="185" t="str">
        <f t="shared" si="40"/>
        <v/>
      </c>
      <c r="J162" s="185" t="str">
        <f t="shared" si="41"/>
        <v/>
      </c>
      <c r="K162" s="185"/>
      <c r="L162" s="185" t="str">
        <f t="shared" si="42"/>
        <v/>
      </c>
      <c r="M162" s="174" t="str">
        <f t="shared" si="54"/>
        <v/>
      </c>
      <c r="N162" s="174" t="str">
        <f t="shared" si="53"/>
        <v/>
      </c>
      <c r="O162" s="187"/>
      <c r="P162" s="181" t="str">
        <f>IF(A161=$D$8,XIRR(R$24:R161,C$24:C161),"")</f>
        <v/>
      </c>
      <c r="Q162" s="185" t="str">
        <f t="shared" si="52"/>
        <v/>
      </c>
      <c r="R162" s="177">
        <f t="shared" si="48"/>
        <v>0</v>
      </c>
      <c r="S162" s="178" t="e">
        <f t="shared" ca="1" si="49"/>
        <v>#VALUE!</v>
      </c>
      <c r="T162" s="178" t="e">
        <f t="shared" ca="1" si="50"/>
        <v>#VALUE!</v>
      </c>
      <c r="U162" s="178" t="e">
        <f t="shared" ca="1" si="43"/>
        <v>#VALUE!</v>
      </c>
      <c r="V162" s="183" t="e">
        <f t="shared" ca="1" si="44"/>
        <v>#VALUE!</v>
      </c>
      <c r="W162" s="184" t="e">
        <f t="shared" ca="1" si="45"/>
        <v>#VALUE!</v>
      </c>
    </row>
    <row r="163" spans="1:23" hidden="1" x14ac:dyDescent="0.25">
      <c r="A163" s="179" t="str">
        <f t="shared" si="51"/>
        <v/>
      </c>
      <c r="B163" s="173" t="e">
        <f t="shared" ca="1" si="46"/>
        <v>#VALUE!</v>
      </c>
      <c r="C163" s="173" t="e">
        <f t="shared" ca="1" si="47"/>
        <v>#VALUE!</v>
      </c>
      <c r="D163" s="179" t="str">
        <f t="shared" si="38"/>
        <v/>
      </c>
      <c r="E163" s="174" t="str">
        <f t="shared" si="39"/>
        <v/>
      </c>
      <c r="F163" s="174" t="str">
        <f>IF(AND(A162="",A164=""),"",IF(A163="",ROUND(SUM($F$25:F162),2),IF(A163=$D$8,$E$24-ROUND(SUM($F$25:F162),2),ROUND($E$24/$D$8,2))))</f>
        <v/>
      </c>
      <c r="G163" s="156" t="str">
        <f>IF(A162=$D$8,ROUND(SUM($G$25:G162),2),IF(A163&gt;$F$8,"",IF(T163&lt;&gt;T162,ROUND(SUM(V163*$F$9*E162/T163,W163*$F$9*E162/T162),2),ROUND(E162*$F$9*D163/T162,2))))</f>
        <v/>
      </c>
      <c r="H163" s="174" t="str">
        <f>IF(A162=$D$8,SUM($H$25:H162),IF(A162&gt;$D$8,"",F163+G163))</f>
        <v/>
      </c>
      <c r="I163" s="185" t="str">
        <f t="shared" si="40"/>
        <v/>
      </c>
      <c r="J163" s="185" t="str">
        <f t="shared" si="41"/>
        <v/>
      </c>
      <c r="K163" s="185"/>
      <c r="L163" s="185" t="str">
        <f t="shared" si="42"/>
        <v/>
      </c>
      <c r="M163" s="174" t="str">
        <f t="shared" si="54"/>
        <v/>
      </c>
      <c r="N163" s="174" t="str">
        <f t="shared" si="53"/>
        <v/>
      </c>
      <c r="O163" s="187"/>
      <c r="P163" s="181" t="str">
        <f>IF(A162=$D$8,XIRR(R$24:R162,C$24:C162),"")</f>
        <v/>
      </c>
      <c r="Q163" s="185" t="str">
        <f t="shared" si="52"/>
        <v/>
      </c>
      <c r="R163" s="177">
        <f t="shared" si="48"/>
        <v>0</v>
      </c>
      <c r="S163" s="178" t="e">
        <f t="shared" ca="1" si="49"/>
        <v>#VALUE!</v>
      </c>
      <c r="T163" s="178" t="e">
        <f t="shared" ca="1" si="50"/>
        <v>#VALUE!</v>
      </c>
      <c r="U163" s="178" t="e">
        <f t="shared" ca="1" si="43"/>
        <v>#VALUE!</v>
      </c>
      <c r="V163" s="183" t="e">
        <f t="shared" ca="1" si="44"/>
        <v>#VALUE!</v>
      </c>
      <c r="W163" s="184" t="e">
        <f t="shared" ca="1" si="45"/>
        <v>#VALUE!</v>
      </c>
    </row>
    <row r="164" spans="1:23" hidden="1" x14ac:dyDescent="0.25">
      <c r="A164" s="179" t="str">
        <f t="shared" si="51"/>
        <v/>
      </c>
      <c r="B164" s="173" t="e">
        <f t="shared" ca="1" si="46"/>
        <v>#VALUE!</v>
      </c>
      <c r="C164" s="173" t="e">
        <f t="shared" ca="1" si="47"/>
        <v>#VALUE!</v>
      </c>
      <c r="D164" s="179" t="str">
        <f t="shared" si="38"/>
        <v/>
      </c>
      <c r="E164" s="174" t="str">
        <f t="shared" si="39"/>
        <v/>
      </c>
      <c r="F164" s="174" t="str">
        <f>IF(AND(A163="",A165=""),"",IF(A164="",ROUND(SUM($F$25:F163),2),IF(A164=$D$8,$E$24-ROUND(SUM($F$25:F163),2),ROUND($E$24/$D$8,2))))</f>
        <v/>
      </c>
      <c r="G164" s="156" t="str">
        <f>IF(A163=$D$8,ROUND(SUM($G$25:G163),2),IF(A164&gt;$F$8,"",IF(T164&lt;&gt;T163,ROUND(SUM(V164*$F$9*E163/T164,W164*$F$9*E163/T163),2),ROUND(E163*$F$9*D164/T163,2))))</f>
        <v/>
      </c>
      <c r="H164" s="174" t="str">
        <f>IF(A163=$D$8,SUM($H$25:H163),IF(A163&gt;$D$8,"",F164+G164))</f>
        <v/>
      </c>
      <c r="I164" s="185" t="str">
        <f t="shared" si="40"/>
        <v/>
      </c>
      <c r="J164" s="185" t="str">
        <f t="shared" si="41"/>
        <v/>
      </c>
      <c r="K164" s="185"/>
      <c r="L164" s="185" t="str">
        <f t="shared" si="42"/>
        <v/>
      </c>
      <c r="M164" s="174" t="str">
        <f t="shared" si="54"/>
        <v/>
      </c>
      <c r="N164" s="174" t="str">
        <f t="shared" si="53"/>
        <v/>
      </c>
      <c r="O164" s="187"/>
      <c r="P164" s="181" t="str">
        <f>IF(A163=$D$8,XIRR(R$24:R163,C$24:C163),"")</f>
        <v/>
      </c>
      <c r="Q164" s="185" t="str">
        <f t="shared" si="52"/>
        <v/>
      </c>
      <c r="R164" s="177">
        <f t="shared" si="48"/>
        <v>0</v>
      </c>
      <c r="S164" s="178" t="e">
        <f t="shared" ca="1" si="49"/>
        <v>#VALUE!</v>
      </c>
      <c r="T164" s="178" t="e">
        <f t="shared" ca="1" si="50"/>
        <v>#VALUE!</v>
      </c>
      <c r="U164" s="178" t="e">
        <f t="shared" ca="1" si="43"/>
        <v>#VALUE!</v>
      </c>
      <c r="V164" s="183" t="e">
        <f t="shared" ca="1" si="44"/>
        <v>#VALUE!</v>
      </c>
      <c r="W164" s="184" t="e">
        <f t="shared" ca="1" si="45"/>
        <v>#VALUE!</v>
      </c>
    </row>
    <row r="165" spans="1:23" hidden="1" x14ac:dyDescent="0.25">
      <c r="A165" s="179" t="str">
        <f t="shared" si="51"/>
        <v/>
      </c>
      <c r="B165" s="173" t="e">
        <f t="shared" ca="1" si="46"/>
        <v>#VALUE!</v>
      </c>
      <c r="C165" s="173" t="e">
        <f t="shared" ca="1" si="47"/>
        <v>#VALUE!</v>
      </c>
      <c r="D165" s="179" t="str">
        <f t="shared" si="38"/>
        <v/>
      </c>
      <c r="E165" s="174" t="str">
        <f t="shared" si="39"/>
        <v/>
      </c>
      <c r="F165" s="174" t="str">
        <f>IF(AND(A164="",A166=""),"",IF(A165="",ROUND(SUM($F$25:F164),2),IF(A165=$D$8,$E$24-ROUND(SUM($F$25:F164),2),ROUND($E$24/$D$8,2))))</f>
        <v/>
      </c>
      <c r="G165" s="156" t="str">
        <f>IF(A164=$D$8,ROUND(SUM($G$25:G164),2),IF(A165&gt;$F$8,"",IF(T165&lt;&gt;T164,ROUND(SUM(V165*$F$9*E164/T165,W165*$F$9*E164/T164),2),ROUND(E164*$F$9*D165/T164,2))))</f>
        <v/>
      </c>
      <c r="H165" s="174" t="str">
        <f>IF(A164=$D$8,SUM($H$25:H164),IF(A164&gt;$D$8,"",F165+G165))</f>
        <v/>
      </c>
      <c r="I165" s="185" t="str">
        <f t="shared" si="40"/>
        <v/>
      </c>
      <c r="J165" s="185" t="str">
        <f t="shared" si="41"/>
        <v/>
      </c>
      <c r="K165" s="185"/>
      <c r="L165" s="185" t="str">
        <f t="shared" si="42"/>
        <v/>
      </c>
      <c r="M165" s="174" t="str">
        <f t="shared" si="54"/>
        <v/>
      </c>
      <c r="N165" s="174" t="str">
        <f t="shared" si="53"/>
        <v/>
      </c>
      <c r="O165" s="187"/>
      <c r="P165" s="181" t="str">
        <f>IF(A164=$D$8,XIRR(R$24:R164,C$24:C164),"")</f>
        <v/>
      </c>
      <c r="Q165" s="185" t="str">
        <f t="shared" si="52"/>
        <v/>
      </c>
      <c r="R165" s="177">
        <f t="shared" si="48"/>
        <v>0</v>
      </c>
      <c r="S165" s="178" t="e">
        <f t="shared" ca="1" si="49"/>
        <v>#VALUE!</v>
      </c>
      <c r="T165" s="178" t="e">
        <f t="shared" ca="1" si="50"/>
        <v>#VALUE!</v>
      </c>
      <c r="U165" s="178" t="e">
        <f t="shared" ca="1" si="43"/>
        <v>#VALUE!</v>
      </c>
      <c r="V165" s="183" t="e">
        <f t="shared" ca="1" si="44"/>
        <v>#VALUE!</v>
      </c>
      <c r="W165" s="184" t="e">
        <f t="shared" ca="1" si="45"/>
        <v>#VALUE!</v>
      </c>
    </row>
    <row r="166" spans="1:23" hidden="1" x14ac:dyDescent="0.25">
      <c r="A166" s="179" t="str">
        <f t="shared" si="51"/>
        <v/>
      </c>
      <c r="B166" s="173" t="e">
        <f t="shared" ca="1" si="46"/>
        <v>#VALUE!</v>
      </c>
      <c r="C166" s="173" t="e">
        <f t="shared" ca="1" si="47"/>
        <v>#VALUE!</v>
      </c>
      <c r="D166" s="179" t="str">
        <f t="shared" ref="D166:D229" si="55">IF(A166&gt;$D$8,"",C166-C165)</f>
        <v/>
      </c>
      <c r="E166" s="174" t="str">
        <f t="shared" ref="E166:E229" si="56">IF(A166&gt;$D$8,"",E165-F166)</f>
        <v/>
      </c>
      <c r="F166" s="174" t="str">
        <f>IF(AND(A165="",A167=""),"",IF(A166="",ROUND(SUM($F$25:F165),2),IF(A166=$D$8,$E$24-ROUND(SUM($F$25:F165),2),ROUND($E$24/$D$8,2))))</f>
        <v/>
      </c>
      <c r="G166" s="156" t="str">
        <f>IF(A165=$D$8,ROUND(SUM($G$25:G165),2),IF(A166&gt;$F$8,"",IF(T166&lt;&gt;T165,ROUND(SUM(V166*$F$9*E165/T166,W166*$F$9*E165/T165),2),ROUND(E165*$F$9*D166/T165,2))))</f>
        <v/>
      </c>
      <c r="H166" s="174" t="str">
        <f>IF(A165=$D$8,SUM($H$25:H165),IF(A165&gt;$D$8,"",F166+G166))</f>
        <v/>
      </c>
      <c r="I166" s="185" t="str">
        <f t="shared" ref="I166:I229" si="57">IF(A165=$F$8,$I$24,"")</f>
        <v/>
      </c>
      <c r="J166" s="185" t="str">
        <f t="shared" ref="J166:J229" si="58">IF(A165=$F$8,$J$24,"")</f>
        <v/>
      </c>
      <c r="K166" s="185"/>
      <c r="L166" s="185" t="str">
        <f t="shared" ref="L166:L229" si="59">IF(A165=$F$8,$L$24,"")</f>
        <v/>
      </c>
      <c r="M166" s="174" t="str">
        <f t="shared" si="54"/>
        <v/>
      </c>
      <c r="N166" s="174" t="str">
        <f t="shared" si="53"/>
        <v/>
      </c>
      <c r="O166" s="187"/>
      <c r="P166" s="181" t="str">
        <f>IF(A165=$D$8,XIRR(R$24:R165,C$24:C165),"")</f>
        <v/>
      </c>
      <c r="Q166" s="185" t="str">
        <f t="shared" si="52"/>
        <v/>
      </c>
      <c r="R166" s="177">
        <f t="shared" si="48"/>
        <v>0</v>
      </c>
      <c r="S166" s="178" t="e">
        <f t="shared" ca="1" si="49"/>
        <v>#VALUE!</v>
      </c>
      <c r="T166" s="178" t="e">
        <f t="shared" ca="1" si="50"/>
        <v>#VALUE!</v>
      </c>
      <c r="U166" s="178" t="e">
        <f t="shared" ca="1" si="43"/>
        <v>#VALUE!</v>
      </c>
      <c r="V166" s="183" t="e">
        <f t="shared" ca="1" si="44"/>
        <v>#VALUE!</v>
      </c>
      <c r="W166" s="184" t="e">
        <f t="shared" ca="1" si="45"/>
        <v>#VALUE!</v>
      </c>
    </row>
    <row r="167" spans="1:23" hidden="1" x14ac:dyDescent="0.25">
      <c r="A167" s="179" t="str">
        <f t="shared" si="51"/>
        <v/>
      </c>
      <c r="B167" s="173" t="e">
        <f t="shared" ca="1" si="46"/>
        <v>#VALUE!</v>
      </c>
      <c r="C167" s="173" t="e">
        <f t="shared" ca="1" si="47"/>
        <v>#VALUE!</v>
      </c>
      <c r="D167" s="179" t="str">
        <f t="shared" si="55"/>
        <v/>
      </c>
      <c r="E167" s="174" t="str">
        <f t="shared" si="56"/>
        <v/>
      </c>
      <c r="F167" s="174" t="str">
        <f>IF(AND(A166="",A168=""),"",IF(A167="",ROUND(SUM($F$25:F166),2),IF(A167=$D$8,$E$24-ROUND(SUM($F$25:F166),2),ROUND($E$24/$D$8,2))))</f>
        <v/>
      </c>
      <c r="G167" s="156" t="str">
        <f>IF(A166=$D$8,ROUND(SUM($G$25:G166),2),IF(A167&gt;$F$8,"",IF(T167&lt;&gt;T166,ROUND(SUM(V167*$F$9*E166/T167,W167*$F$9*E166/T166),2),ROUND(E166*$F$9*D167/T166,2))))</f>
        <v/>
      </c>
      <c r="H167" s="174" t="str">
        <f>IF(A166=$D$8,SUM($H$25:H166),IF(A166&gt;$D$8,"",F167+G167))</f>
        <v/>
      </c>
      <c r="I167" s="185" t="str">
        <f t="shared" si="57"/>
        <v/>
      </c>
      <c r="J167" s="185" t="str">
        <f t="shared" si="58"/>
        <v/>
      </c>
      <c r="K167" s="185"/>
      <c r="L167" s="185" t="str">
        <f t="shared" si="59"/>
        <v/>
      </c>
      <c r="M167" s="174" t="str">
        <f t="shared" si="54"/>
        <v/>
      </c>
      <c r="N167" s="174" t="str">
        <f t="shared" si="53"/>
        <v/>
      </c>
      <c r="O167" s="187"/>
      <c r="P167" s="181" t="str">
        <f>IF(A166=$D$8,XIRR(R$24:R166,C$24:C166),"")</f>
        <v/>
      </c>
      <c r="Q167" s="185" t="str">
        <f t="shared" si="52"/>
        <v/>
      </c>
      <c r="R167" s="177">
        <f t="shared" si="48"/>
        <v>0</v>
      </c>
      <c r="S167" s="178" t="e">
        <f t="shared" ca="1" si="49"/>
        <v>#VALUE!</v>
      </c>
      <c r="T167" s="178" t="e">
        <f t="shared" ca="1" si="50"/>
        <v>#VALUE!</v>
      </c>
      <c r="U167" s="178" t="e">
        <f t="shared" ca="1" si="43"/>
        <v>#VALUE!</v>
      </c>
      <c r="V167" s="183" t="e">
        <f t="shared" ca="1" si="44"/>
        <v>#VALUE!</v>
      </c>
      <c r="W167" s="184" t="e">
        <f t="shared" ca="1" si="45"/>
        <v>#VALUE!</v>
      </c>
    </row>
    <row r="168" spans="1:23" hidden="1" x14ac:dyDescent="0.25">
      <c r="A168" s="179" t="str">
        <f t="shared" si="51"/>
        <v/>
      </c>
      <c r="B168" s="173" t="e">
        <f t="shared" ca="1" si="46"/>
        <v>#VALUE!</v>
      </c>
      <c r="C168" s="173" t="e">
        <f t="shared" ca="1" si="47"/>
        <v>#VALUE!</v>
      </c>
      <c r="D168" s="179" t="str">
        <f t="shared" si="55"/>
        <v/>
      </c>
      <c r="E168" s="174" t="str">
        <f t="shared" si="56"/>
        <v/>
      </c>
      <c r="F168" s="174" t="str">
        <f>IF(AND(A167="",A169=""),"",IF(A168="",ROUND(SUM($F$25:F167),2),IF(A168=$D$8,$E$24-ROUND(SUM($F$25:F167),2),ROUND($E$24/$D$8,2))))</f>
        <v/>
      </c>
      <c r="G168" s="156" t="str">
        <f>IF(A167=$D$8,ROUND(SUM($G$25:G167),2),IF(A168&gt;$F$8,"",IF(T168&lt;&gt;T167,ROUND(SUM(V168*$F$9*E167/T168,W168*$F$9*E167/T167),2),ROUND(E167*$F$9*D168/T167,2))))</f>
        <v/>
      </c>
      <c r="H168" s="174" t="str">
        <f>IF(A167=$D$8,SUM($H$25:H167),IF(A167&gt;$D$8,"",F168+G168))</f>
        <v/>
      </c>
      <c r="I168" s="185" t="str">
        <f t="shared" si="57"/>
        <v/>
      </c>
      <c r="J168" s="185" t="str">
        <f t="shared" si="58"/>
        <v/>
      </c>
      <c r="K168" s="185"/>
      <c r="L168" s="185" t="str">
        <f t="shared" si="59"/>
        <v/>
      </c>
      <c r="M168" s="174" t="str">
        <f t="shared" si="54"/>
        <v/>
      </c>
      <c r="N168" s="174" t="str">
        <f t="shared" si="53"/>
        <v/>
      </c>
      <c r="O168" s="187"/>
      <c r="P168" s="181" t="str">
        <f>IF(A167=$D$8,XIRR(R$24:R167,C$24:C167),"")</f>
        <v/>
      </c>
      <c r="Q168" s="185" t="str">
        <f t="shared" si="52"/>
        <v/>
      </c>
      <c r="R168" s="177">
        <f t="shared" si="48"/>
        <v>0</v>
      </c>
      <c r="S168" s="178" t="e">
        <f t="shared" ca="1" si="49"/>
        <v>#VALUE!</v>
      </c>
      <c r="T168" s="178" t="e">
        <f t="shared" ca="1" si="50"/>
        <v>#VALUE!</v>
      </c>
      <c r="U168" s="178" t="e">
        <f t="shared" ca="1" si="43"/>
        <v>#VALUE!</v>
      </c>
      <c r="V168" s="183" t="e">
        <f t="shared" ca="1" si="44"/>
        <v>#VALUE!</v>
      </c>
      <c r="W168" s="184" t="e">
        <f t="shared" ca="1" si="45"/>
        <v>#VALUE!</v>
      </c>
    </row>
    <row r="169" spans="1:23" hidden="1" x14ac:dyDescent="0.25">
      <c r="A169" s="179" t="str">
        <f t="shared" si="51"/>
        <v/>
      </c>
      <c r="B169" s="173" t="e">
        <f t="shared" ca="1" si="46"/>
        <v>#VALUE!</v>
      </c>
      <c r="C169" s="173" t="e">
        <f t="shared" ca="1" si="47"/>
        <v>#VALUE!</v>
      </c>
      <c r="D169" s="179" t="str">
        <f t="shared" si="55"/>
        <v/>
      </c>
      <c r="E169" s="174" t="str">
        <f t="shared" si="56"/>
        <v/>
      </c>
      <c r="F169" s="174" t="str">
        <f>IF(AND(A168="",A170=""),"",IF(A169="",ROUND(SUM($F$25:F168),2),IF(A169=$D$8,$E$24-ROUND(SUM($F$25:F168),2),ROUND($E$24/$D$8,2))))</f>
        <v/>
      </c>
      <c r="G169" s="156" t="str">
        <f>IF(A168=$D$8,ROUND(SUM($G$25:G168),2),IF(A169&gt;$F$8,"",IF(T169&lt;&gt;T168,ROUND(SUM(V169*$F$9*E168/T169,W169*$F$9*E168/T168),2),ROUND(E168*$F$9*D169/T168,2))))</f>
        <v/>
      </c>
      <c r="H169" s="174" t="str">
        <f>IF(A168=$D$8,SUM($H$25:H168),IF(A168&gt;$D$8,"",F169+G169))</f>
        <v/>
      </c>
      <c r="I169" s="185" t="str">
        <f t="shared" si="57"/>
        <v/>
      </c>
      <c r="J169" s="185" t="str">
        <f t="shared" si="58"/>
        <v/>
      </c>
      <c r="K169" s="185" t="str">
        <f>IF($F$8&gt;144,($O$8+$O$10),IF($A$168=$F$8,$K$24*$G$8,""))</f>
        <v/>
      </c>
      <c r="L169" s="185" t="str">
        <f t="shared" si="59"/>
        <v/>
      </c>
      <c r="M169" s="174" t="str">
        <f t="shared" si="54"/>
        <v/>
      </c>
      <c r="N169" s="185" t="str">
        <f>IF($F$8&gt;144,($N$14),IF(A168=$F$8,N157+N145+N133+N121+N109+N97+N85+N73+N61+N49+N37+N24,""))</f>
        <v/>
      </c>
      <c r="O169" s="187"/>
      <c r="P169" s="181" t="str">
        <f>IF(A168=$D$8,XIRR(R$24:R168,C$24:C168),"")</f>
        <v/>
      </c>
      <c r="Q169" s="185" t="str">
        <f t="shared" si="52"/>
        <v/>
      </c>
      <c r="R169" s="177">
        <f t="shared" si="48"/>
        <v>0</v>
      </c>
      <c r="S169" s="178" t="e">
        <f t="shared" ca="1" si="49"/>
        <v>#VALUE!</v>
      </c>
      <c r="T169" s="178" t="e">
        <f t="shared" ca="1" si="50"/>
        <v>#VALUE!</v>
      </c>
      <c r="U169" s="178" t="e">
        <f t="shared" ca="1" si="43"/>
        <v>#VALUE!</v>
      </c>
      <c r="V169" s="183" t="e">
        <f t="shared" ca="1" si="44"/>
        <v>#VALUE!</v>
      </c>
      <c r="W169" s="184" t="e">
        <f t="shared" ca="1" si="45"/>
        <v>#VALUE!</v>
      </c>
    </row>
    <row r="170" spans="1:23" hidden="1" x14ac:dyDescent="0.25">
      <c r="A170" s="179" t="str">
        <f t="shared" si="51"/>
        <v/>
      </c>
      <c r="B170" s="173" t="e">
        <f t="shared" ca="1" si="46"/>
        <v>#VALUE!</v>
      </c>
      <c r="C170" s="173" t="e">
        <f t="shared" ca="1" si="47"/>
        <v>#VALUE!</v>
      </c>
      <c r="D170" s="179" t="str">
        <f t="shared" si="55"/>
        <v/>
      </c>
      <c r="E170" s="174" t="str">
        <f t="shared" si="56"/>
        <v/>
      </c>
      <c r="F170" s="174" t="str">
        <f>IF(AND(A169="",A171=""),"",IF(A170="",ROUND(SUM($F$25:F169),2),IF(A170=$D$8,$E$24-ROUND(SUM($F$25:F169),2),ROUND($E$24/$D$8,2))))</f>
        <v/>
      </c>
      <c r="G170" s="156" t="str">
        <f>IF(A169=$D$8,ROUND(SUM($G$25:G169),2),IF(A170&gt;$F$8,"",IF(T170&lt;&gt;T169,ROUND(SUM(V170*$F$9*E169/T170,W170*$F$9*E169/T169),2),ROUND(E169*$F$9*D170/T169,2))))</f>
        <v/>
      </c>
      <c r="H170" s="174" t="str">
        <f>IF(A169=$D$8,SUM($H$25:H169),IF(A169&gt;$D$8,"",F170+G170))</f>
        <v/>
      </c>
      <c r="I170" s="185" t="str">
        <f t="shared" si="57"/>
        <v/>
      </c>
      <c r="J170" s="185" t="str">
        <f t="shared" si="58"/>
        <v/>
      </c>
      <c r="K170" s="185"/>
      <c r="L170" s="185" t="str">
        <f t="shared" si="59"/>
        <v/>
      </c>
      <c r="M170" s="174" t="str">
        <f t="shared" si="54"/>
        <v/>
      </c>
      <c r="N170" s="174" t="str">
        <f t="shared" si="53"/>
        <v/>
      </c>
      <c r="O170" s="187"/>
      <c r="P170" s="181" t="str">
        <f>IF(A169=$D$8,XIRR(R$24:R169,C$24:C169),"")</f>
        <v/>
      </c>
      <c r="Q170" s="185" t="str">
        <f t="shared" si="52"/>
        <v/>
      </c>
      <c r="R170" s="177">
        <f t="shared" si="48"/>
        <v>0</v>
      </c>
      <c r="S170" s="178" t="e">
        <f t="shared" ca="1" si="49"/>
        <v>#VALUE!</v>
      </c>
      <c r="T170" s="178" t="e">
        <f t="shared" ca="1" si="50"/>
        <v>#VALUE!</v>
      </c>
      <c r="U170" s="178" t="e">
        <f t="shared" ca="1" si="43"/>
        <v>#VALUE!</v>
      </c>
      <c r="V170" s="183" t="e">
        <f t="shared" ca="1" si="44"/>
        <v>#VALUE!</v>
      </c>
      <c r="W170" s="184" t="e">
        <f t="shared" ca="1" si="45"/>
        <v>#VALUE!</v>
      </c>
    </row>
    <row r="171" spans="1:23" hidden="1" x14ac:dyDescent="0.25">
      <c r="A171" s="179" t="str">
        <f t="shared" si="51"/>
        <v/>
      </c>
      <c r="B171" s="173" t="e">
        <f t="shared" ca="1" si="46"/>
        <v>#VALUE!</v>
      </c>
      <c r="C171" s="173" t="e">
        <f t="shared" ca="1" si="47"/>
        <v>#VALUE!</v>
      </c>
      <c r="D171" s="179" t="str">
        <f t="shared" si="55"/>
        <v/>
      </c>
      <c r="E171" s="174" t="str">
        <f t="shared" si="56"/>
        <v/>
      </c>
      <c r="F171" s="174" t="str">
        <f>IF(AND(A170="",A172=""),"",IF(A171="",ROUND(SUM($F$25:F170),2),IF(A171=$D$8,$E$24-ROUND(SUM($F$25:F170),2),ROUND($E$24/$D$8,2))))</f>
        <v/>
      </c>
      <c r="G171" s="156" t="str">
        <f>IF(A170=$D$8,ROUND(SUM($G$25:G170),2),IF(A171&gt;$F$8,"",IF(T171&lt;&gt;T170,ROUND(SUM(V171*$F$9*E170/T171,W171*$F$9*E170/T170),2),ROUND(E170*$F$9*D171/T170,2))))</f>
        <v/>
      </c>
      <c r="H171" s="174" t="str">
        <f>IF(A170=$D$8,SUM($H$25:H170),IF(A170&gt;$D$8,"",F171+G171))</f>
        <v/>
      </c>
      <c r="I171" s="185" t="str">
        <f t="shared" si="57"/>
        <v/>
      </c>
      <c r="J171" s="185" t="str">
        <f t="shared" si="58"/>
        <v/>
      </c>
      <c r="K171" s="185"/>
      <c r="L171" s="185" t="str">
        <f t="shared" si="59"/>
        <v/>
      </c>
      <c r="M171" s="174" t="str">
        <f t="shared" si="54"/>
        <v/>
      </c>
      <c r="N171" s="174" t="str">
        <f t="shared" si="53"/>
        <v/>
      </c>
      <c r="O171" s="187"/>
      <c r="P171" s="181" t="str">
        <f>IF(A170=$D$8,XIRR(R$24:R170,C$24:C170),"")</f>
        <v/>
      </c>
      <c r="Q171" s="185" t="str">
        <f t="shared" si="52"/>
        <v/>
      </c>
      <c r="R171" s="177">
        <f t="shared" si="48"/>
        <v>0</v>
      </c>
      <c r="S171" s="178" t="e">
        <f t="shared" ca="1" si="49"/>
        <v>#VALUE!</v>
      </c>
      <c r="T171" s="178" t="e">
        <f t="shared" ca="1" si="50"/>
        <v>#VALUE!</v>
      </c>
      <c r="U171" s="178" t="e">
        <f t="shared" ca="1" si="43"/>
        <v>#VALUE!</v>
      </c>
      <c r="V171" s="183" t="e">
        <f t="shared" ca="1" si="44"/>
        <v>#VALUE!</v>
      </c>
      <c r="W171" s="184" t="e">
        <f t="shared" ca="1" si="45"/>
        <v>#VALUE!</v>
      </c>
    </row>
    <row r="172" spans="1:23" hidden="1" x14ac:dyDescent="0.25">
      <c r="A172" s="179" t="str">
        <f t="shared" si="51"/>
        <v/>
      </c>
      <c r="B172" s="173" t="e">
        <f t="shared" ca="1" si="46"/>
        <v>#VALUE!</v>
      </c>
      <c r="C172" s="173" t="e">
        <f t="shared" ca="1" si="47"/>
        <v>#VALUE!</v>
      </c>
      <c r="D172" s="179" t="str">
        <f t="shared" si="55"/>
        <v/>
      </c>
      <c r="E172" s="174" t="str">
        <f t="shared" si="56"/>
        <v/>
      </c>
      <c r="F172" s="174" t="str">
        <f>IF(AND(A171="",A173=""),"",IF(A172="",ROUND(SUM($F$25:F171),2),IF(A172=$D$8,$E$24-ROUND(SUM($F$25:F171),2),ROUND($E$24/$D$8,2))))</f>
        <v/>
      </c>
      <c r="G172" s="156" t="str">
        <f>IF(A171=$D$8,ROUND(SUM($G$25:G171),2),IF(A172&gt;$F$8,"",IF(T172&lt;&gt;T171,ROUND(SUM(V172*$F$9*E171/T172,W172*$F$9*E171/T171),2),ROUND(E171*$F$9*D172/T171,2))))</f>
        <v/>
      </c>
      <c r="H172" s="174" t="str">
        <f>IF(A171=$D$8,SUM($H$25:H171),IF(A171&gt;$D$8,"",F172+G172))</f>
        <v/>
      </c>
      <c r="I172" s="185" t="str">
        <f t="shared" si="57"/>
        <v/>
      </c>
      <c r="J172" s="185" t="str">
        <f t="shared" si="58"/>
        <v/>
      </c>
      <c r="K172" s="185"/>
      <c r="L172" s="185" t="str">
        <f t="shared" si="59"/>
        <v/>
      </c>
      <c r="M172" s="174" t="str">
        <f t="shared" si="54"/>
        <v/>
      </c>
      <c r="N172" s="174" t="str">
        <f t="shared" si="53"/>
        <v/>
      </c>
      <c r="O172" s="187"/>
      <c r="P172" s="181" t="str">
        <f>IF(A171=$D$8,XIRR(R$24:R171,C$24:C171),"")</f>
        <v/>
      </c>
      <c r="Q172" s="185" t="str">
        <f t="shared" si="52"/>
        <v/>
      </c>
      <c r="R172" s="177">
        <f t="shared" si="48"/>
        <v>0</v>
      </c>
      <c r="S172" s="178" t="e">
        <f t="shared" ca="1" si="49"/>
        <v>#VALUE!</v>
      </c>
      <c r="T172" s="178" t="e">
        <f t="shared" ca="1" si="50"/>
        <v>#VALUE!</v>
      </c>
      <c r="U172" s="178" t="e">
        <f t="shared" ca="1" si="43"/>
        <v>#VALUE!</v>
      </c>
      <c r="V172" s="183" t="e">
        <f t="shared" ca="1" si="44"/>
        <v>#VALUE!</v>
      </c>
      <c r="W172" s="184" t="e">
        <f t="shared" ca="1" si="45"/>
        <v>#VALUE!</v>
      </c>
    </row>
    <row r="173" spans="1:23" hidden="1" x14ac:dyDescent="0.25">
      <c r="A173" s="179" t="str">
        <f t="shared" si="51"/>
        <v/>
      </c>
      <c r="B173" s="173" t="e">
        <f t="shared" ca="1" si="46"/>
        <v>#VALUE!</v>
      </c>
      <c r="C173" s="173" t="e">
        <f t="shared" ca="1" si="47"/>
        <v>#VALUE!</v>
      </c>
      <c r="D173" s="179" t="str">
        <f t="shared" si="55"/>
        <v/>
      </c>
      <c r="E173" s="174" t="str">
        <f t="shared" si="56"/>
        <v/>
      </c>
      <c r="F173" s="174" t="str">
        <f>IF(AND(A172="",A174=""),"",IF(A173="",ROUND(SUM($F$25:F172),2),IF(A173=$D$8,$E$24-ROUND(SUM($F$25:F172),2),ROUND($E$24/$D$8,2))))</f>
        <v/>
      </c>
      <c r="G173" s="156" t="str">
        <f>IF(A172=$D$8,ROUND(SUM($G$25:G172),2),IF(A173&gt;$F$8,"",IF(T173&lt;&gt;T172,ROUND(SUM(V173*$F$9*E172/T173,W173*$F$9*E172/T172),2),ROUND(E172*$F$9*D173/T172,2))))</f>
        <v/>
      </c>
      <c r="H173" s="174" t="str">
        <f>IF(A172=$D$8,SUM($H$25:H172),IF(A172&gt;$D$8,"",F173+G173))</f>
        <v/>
      </c>
      <c r="I173" s="185" t="str">
        <f t="shared" si="57"/>
        <v/>
      </c>
      <c r="J173" s="185" t="str">
        <f t="shared" si="58"/>
        <v/>
      </c>
      <c r="K173" s="185"/>
      <c r="L173" s="185" t="str">
        <f t="shared" si="59"/>
        <v/>
      </c>
      <c r="M173" s="174" t="str">
        <f t="shared" si="54"/>
        <v/>
      </c>
      <c r="N173" s="174" t="str">
        <f t="shared" si="53"/>
        <v/>
      </c>
      <c r="O173" s="187"/>
      <c r="P173" s="181" t="str">
        <f>IF(A172=$D$8,XIRR(R$24:R172,C$24:C172),"")</f>
        <v/>
      </c>
      <c r="Q173" s="185" t="str">
        <f t="shared" si="52"/>
        <v/>
      </c>
      <c r="R173" s="177">
        <f t="shared" si="48"/>
        <v>0</v>
      </c>
      <c r="S173" s="178" t="e">
        <f t="shared" ca="1" si="49"/>
        <v>#VALUE!</v>
      </c>
      <c r="T173" s="178" t="e">
        <f t="shared" ca="1" si="50"/>
        <v>#VALUE!</v>
      </c>
      <c r="U173" s="178" t="e">
        <f t="shared" ref="U173:U236" ca="1" si="60">IF(C173="","",DAY(C173))</f>
        <v>#VALUE!</v>
      </c>
      <c r="V173" s="183" t="e">
        <f t="shared" ref="V173:V236" ca="1" si="61">U173-1</f>
        <v>#VALUE!</v>
      </c>
      <c r="W173" s="184" t="e">
        <f t="shared" ca="1" si="45"/>
        <v>#VALUE!</v>
      </c>
    </row>
    <row r="174" spans="1:23" hidden="1" x14ac:dyDescent="0.25">
      <c r="A174" s="179" t="str">
        <f t="shared" si="51"/>
        <v/>
      </c>
      <c r="B174" s="173" t="e">
        <f t="shared" ca="1" si="46"/>
        <v>#VALUE!</v>
      </c>
      <c r="C174" s="173" t="e">
        <f t="shared" ca="1" si="47"/>
        <v>#VALUE!</v>
      </c>
      <c r="D174" s="179" t="str">
        <f t="shared" si="55"/>
        <v/>
      </c>
      <c r="E174" s="174" t="str">
        <f t="shared" si="56"/>
        <v/>
      </c>
      <c r="F174" s="174" t="str">
        <f>IF(AND(A173="",A175=""),"",IF(A174="",ROUND(SUM($F$25:F173),2),IF(A174=$D$8,$E$24-ROUND(SUM($F$25:F173),2),ROUND($E$24/$D$8,2))))</f>
        <v/>
      </c>
      <c r="G174" s="156" t="str">
        <f>IF(A173=$D$8,ROUND(SUM($G$25:G173),2),IF(A174&gt;$F$8,"",IF(T174&lt;&gt;T173,ROUND(SUM(V174*$F$9*E173/T174,W174*$F$9*E173/T173),2),ROUND(E173*$F$9*D174/T173,2))))</f>
        <v/>
      </c>
      <c r="H174" s="174" t="str">
        <f>IF(A173=$D$8,SUM($H$25:H173),IF(A173&gt;$D$8,"",F174+G174))</f>
        <v/>
      </c>
      <c r="I174" s="185" t="str">
        <f t="shared" si="57"/>
        <v/>
      </c>
      <c r="J174" s="185" t="str">
        <f t="shared" si="58"/>
        <v/>
      </c>
      <c r="K174" s="185"/>
      <c r="L174" s="185" t="str">
        <f t="shared" si="59"/>
        <v/>
      </c>
      <c r="M174" s="174" t="str">
        <f t="shared" si="54"/>
        <v/>
      </c>
      <c r="N174" s="174" t="str">
        <f t="shared" si="53"/>
        <v/>
      </c>
      <c r="O174" s="187"/>
      <c r="P174" s="181" t="str">
        <f>IF(A173=$D$8,XIRR(R$24:R173,C$24:C173),"")</f>
        <v/>
      </c>
      <c r="Q174" s="185" t="str">
        <f t="shared" si="52"/>
        <v/>
      </c>
      <c r="R174" s="177">
        <f t="shared" si="48"/>
        <v>0</v>
      </c>
      <c r="S174" s="178" t="e">
        <f t="shared" ca="1" si="49"/>
        <v>#VALUE!</v>
      </c>
      <c r="T174" s="178" t="e">
        <f t="shared" ca="1" si="50"/>
        <v>#VALUE!</v>
      </c>
      <c r="U174" s="178" t="e">
        <f t="shared" ca="1" si="60"/>
        <v>#VALUE!</v>
      </c>
      <c r="V174" s="183" t="e">
        <f t="shared" ca="1" si="61"/>
        <v>#VALUE!</v>
      </c>
      <c r="W174" s="184" t="e">
        <f t="shared" ca="1" si="45"/>
        <v>#VALUE!</v>
      </c>
    </row>
    <row r="175" spans="1:23" hidden="1" x14ac:dyDescent="0.25">
      <c r="A175" s="179" t="str">
        <f t="shared" si="51"/>
        <v/>
      </c>
      <c r="B175" s="173" t="e">
        <f t="shared" ca="1" si="46"/>
        <v>#VALUE!</v>
      </c>
      <c r="C175" s="173" t="e">
        <f t="shared" ca="1" si="47"/>
        <v>#VALUE!</v>
      </c>
      <c r="D175" s="179" t="str">
        <f t="shared" si="55"/>
        <v/>
      </c>
      <c r="E175" s="174" t="str">
        <f t="shared" si="56"/>
        <v/>
      </c>
      <c r="F175" s="174" t="str">
        <f>IF(AND(A174="",A176=""),"",IF(A175="",ROUND(SUM($F$25:F174),2),IF(A175=$D$8,$E$24-ROUND(SUM($F$25:F174),2),ROUND($E$24/$D$8,2))))</f>
        <v/>
      </c>
      <c r="G175" s="156" t="str">
        <f>IF(A174=$D$8,ROUND(SUM($G$25:G174),2),IF(A175&gt;$F$8,"",IF(T175&lt;&gt;T174,ROUND(SUM(V175*$F$9*E174/T175,W175*$F$9*E174/T174),2),ROUND(E174*$F$9*D175/T174,2))))</f>
        <v/>
      </c>
      <c r="H175" s="174" t="str">
        <f>IF(A174=$D$8,SUM($H$25:H174),IF(A174&gt;$D$8,"",F175+G175))</f>
        <v/>
      </c>
      <c r="I175" s="185" t="str">
        <f t="shared" si="57"/>
        <v/>
      </c>
      <c r="J175" s="185" t="str">
        <f t="shared" si="58"/>
        <v/>
      </c>
      <c r="K175" s="185"/>
      <c r="L175" s="185" t="str">
        <f t="shared" si="59"/>
        <v/>
      </c>
      <c r="M175" s="174" t="str">
        <f t="shared" si="54"/>
        <v/>
      </c>
      <c r="N175" s="174" t="str">
        <f t="shared" si="53"/>
        <v/>
      </c>
      <c r="O175" s="187"/>
      <c r="P175" s="181" t="str">
        <f>IF(A174=$D$8,XIRR(R$24:R174,C$24:C174),"")</f>
        <v/>
      </c>
      <c r="Q175" s="185" t="str">
        <f t="shared" si="52"/>
        <v/>
      </c>
      <c r="R175" s="177">
        <f t="shared" si="48"/>
        <v>0</v>
      </c>
      <c r="S175" s="178" t="e">
        <f t="shared" ca="1" si="49"/>
        <v>#VALUE!</v>
      </c>
      <c r="T175" s="178" t="e">
        <f t="shared" ca="1" si="50"/>
        <v>#VALUE!</v>
      </c>
      <c r="U175" s="178" t="e">
        <f t="shared" ca="1" si="60"/>
        <v>#VALUE!</v>
      </c>
      <c r="V175" s="183" t="e">
        <f t="shared" ca="1" si="61"/>
        <v>#VALUE!</v>
      </c>
      <c r="W175" s="184" t="e">
        <f t="shared" ca="1" si="45"/>
        <v>#VALUE!</v>
      </c>
    </row>
    <row r="176" spans="1:23" hidden="1" x14ac:dyDescent="0.25">
      <c r="A176" s="179" t="str">
        <f t="shared" si="51"/>
        <v/>
      </c>
      <c r="B176" s="173" t="e">
        <f t="shared" ca="1" si="46"/>
        <v>#VALUE!</v>
      </c>
      <c r="C176" s="173" t="e">
        <f t="shared" ca="1" si="47"/>
        <v>#VALUE!</v>
      </c>
      <c r="D176" s="179" t="str">
        <f t="shared" si="55"/>
        <v/>
      </c>
      <c r="E176" s="174" t="str">
        <f t="shared" si="56"/>
        <v/>
      </c>
      <c r="F176" s="174" t="str">
        <f>IF(AND(A175="",A177=""),"",IF(A176="",ROUND(SUM($F$25:F175),2),IF(A176=$D$8,$E$24-ROUND(SUM($F$25:F175),2),ROUND($E$24/$D$8,2))))</f>
        <v/>
      </c>
      <c r="G176" s="156" t="str">
        <f>IF(A175=$D$8,ROUND(SUM($G$25:G175),2),IF(A176&gt;$F$8,"",IF(T176&lt;&gt;T175,ROUND(SUM(V176*$F$9*E175/T176,W176*$F$9*E175/T175),2),ROUND(E175*$F$9*D176/T175,2))))</f>
        <v/>
      </c>
      <c r="H176" s="174" t="str">
        <f>IF(A175=$D$8,SUM($H$25:H175),IF(A175&gt;$D$8,"",F176+G176))</f>
        <v/>
      </c>
      <c r="I176" s="185" t="str">
        <f t="shared" si="57"/>
        <v/>
      </c>
      <c r="J176" s="185" t="str">
        <f t="shared" si="58"/>
        <v/>
      </c>
      <c r="K176" s="185"/>
      <c r="L176" s="185" t="str">
        <f t="shared" si="59"/>
        <v/>
      </c>
      <c r="M176" s="174" t="str">
        <f t="shared" si="54"/>
        <v/>
      </c>
      <c r="N176" s="174" t="str">
        <f t="shared" si="53"/>
        <v/>
      </c>
      <c r="O176" s="187"/>
      <c r="P176" s="181" t="str">
        <f>IF(A175=$D$8,XIRR(R$24:R175,C$24:C175),"")</f>
        <v/>
      </c>
      <c r="Q176" s="185" t="str">
        <f t="shared" si="52"/>
        <v/>
      </c>
      <c r="R176" s="177">
        <f t="shared" si="48"/>
        <v>0</v>
      </c>
      <c r="S176" s="178" t="e">
        <f t="shared" ca="1" si="49"/>
        <v>#VALUE!</v>
      </c>
      <c r="T176" s="178" t="e">
        <f t="shared" ca="1" si="50"/>
        <v>#VALUE!</v>
      </c>
      <c r="U176" s="178" t="e">
        <f t="shared" ca="1" si="60"/>
        <v>#VALUE!</v>
      </c>
      <c r="V176" s="183" t="e">
        <f t="shared" ca="1" si="61"/>
        <v>#VALUE!</v>
      </c>
      <c r="W176" s="184" t="e">
        <f t="shared" ca="1" si="45"/>
        <v>#VALUE!</v>
      </c>
    </row>
    <row r="177" spans="1:23" hidden="1" x14ac:dyDescent="0.25">
      <c r="A177" s="179" t="str">
        <f t="shared" si="51"/>
        <v/>
      </c>
      <c r="B177" s="173" t="e">
        <f t="shared" ca="1" si="46"/>
        <v>#VALUE!</v>
      </c>
      <c r="C177" s="173" t="e">
        <f t="shared" ca="1" si="47"/>
        <v>#VALUE!</v>
      </c>
      <c r="D177" s="179" t="str">
        <f t="shared" si="55"/>
        <v/>
      </c>
      <c r="E177" s="174" t="str">
        <f t="shared" si="56"/>
        <v/>
      </c>
      <c r="F177" s="174" t="str">
        <f>IF(AND(A176="",A178=""),"",IF(A177="",ROUND(SUM($F$25:F176),2),IF(A177=$D$8,$E$24-ROUND(SUM($F$25:F176),2),ROUND($E$24/$D$8,2))))</f>
        <v/>
      </c>
      <c r="G177" s="156" t="str">
        <f>IF(A176=$D$8,ROUND(SUM($G$25:G176),2),IF(A177&gt;$F$8,"",IF(T177&lt;&gt;T176,ROUND(SUM(V177*$F$9*E176/T177,W177*$F$9*E176/T176),2),ROUND(E176*$F$9*D177/T176,2))))</f>
        <v/>
      </c>
      <c r="H177" s="174" t="str">
        <f>IF(A176=$D$8,SUM($H$25:H176),IF(A176&gt;$D$8,"",F177+G177))</f>
        <v/>
      </c>
      <c r="I177" s="185" t="str">
        <f t="shared" si="57"/>
        <v/>
      </c>
      <c r="J177" s="185" t="str">
        <f t="shared" si="58"/>
        <v/>
      </c>
      <c r="K177" s="185"/>
      <c r="L177" s="185" t="str">
        <f t="shared" si="59"/>
        <v/>
      </c>
      <c r="M177" s="174" t="str">
        <f t="shared" si="54"/>
        <v/>
      </c>
      <c r="N177" s="174" t="str">
        <f t="shared" si="53"/>
        <v/>
      </c>
      <c r="O177" s="187"/>
      <c r="P177" s="181" t="str">
        <f>IF(A176=$D$8,XIRR(R$24:R176,C$24:C176),"")</f>
        <v/>
      </c>
      <c r="Q177" s="185" t="str">
        <f t="shared" si="52"/>
        <v/>
      </c>
      <c r="R177" s="177">
        <f t="shared" si="48"/>
        <v>0</v>
      </c>
      <c r="S177" s="178" t="e">
        <f t="shared" ca="1" si="49"/>
        <v>#VALUE!</v>
      </c>
      <c r="T177" s="178" t="e">
        <f t="shared" ca="1" si="50"/>
        <v>#VALUE!</v>
      </c>
      <c r="U177" s="178" t="e">
        <f t="shared" ca="1" si="60"/>
        <v>#VALUE!</v>
      </c>
      <c r="V177" s="183" t="e">
        <f t="shared" ca="1" si="61"/>
        <v>#VALUE!</v>
      </c>
      <c r="W177" s="184" t="e">
        <f t="shared" ca="1" si="45"/>
        <v>#VALUE!</v>
      </c>
    </row>
    <row r="178" spans="1:23" hidden="1" x14ac:dyDescent="0.25">
      <c r="A178" s="179" t="str">
        <f t="shared" si="51"/>
        <v/>
      </c>
      <c r="B178" s="173" t="e">
        <f t="shared" ca="1" si="46"/>
        <v>#VALUE!</v>
      </c>
      <c r="C178" s="173" t="e">
        <f t="shared" ca="1" si="47"/>
        <v>#VALUE!</v>
      </c>
      <c r="D178" s="179" t="str">
        <f t="shared" si="55"/>
        <v/>
      </c>
      <c r="E178" s="174" t="str">
        <f t="shared" si="56"/>
        <v/>
      </c>
      <c r="F178" s="174" t="str">
        <f>IF(AND(A177="",A179=""),"",IF(A178="",ROUND(SUM($F$25:F177),2),IF(A178=$D$8,$E$24-ROUND(SUM($F$25:F177),2),ROUND($E$24/$D$8,2))))</f>
        <v/>
      </c>
      <c r="G178" s="156" t="str">
        <f>IF(A177=$D$8,ROUND(SUM($G$25:G177),2),IF(A178&gt;$F$8,"",IF(T178&lt;&gt;T177,ROUND(SUM(V178*$F$9*E177/T178,W178*$F$9*E177/T177),2),ROUND(E177*$F$9*D178/T177,2))))</f>
        <v/>
      </c>
      <c r="H178" s="174" t="str">
        <f>IF(A177=$D$8,SUM($H$25:H177),IF(A177&gt;$D$8,"",F178+G178))</f>
        <v/>
      </c>
      <c r="I178" s="185" t="str">
        <f t="shared" si="57"/>
        <v/>
      </c>
      <c r="J178" s="185" t="str">
        <f t="shared" si="58"/>
        <v/>
      </c>
      <c r="K178" s="185"/>
      <c r="L178" s="185" t="str">
        <f t="shared" si="59"/>
        <v/>
      </c>
      <c r="M178" s="174" t="str">
        <f t="shared" si="54"/>
        <v/>
      </c>
      <c r="N178" s="174" t="str">
        <f t="shared" si="53"/>
        <v/>
      </c>
      <c r="O178" s="187"/>
      <c r="P178" s="181" t="str">
        <f>IF(A177=$D$8,XIRR(R$24:R177,C$24:C177),"")</f>
        <v/>
      </c>
      <c r="Q178" s="185" t="str">
        <f t="shared" si="52"/>
        <v/>
      </c>
      <c r="R178" s="177">
        <f t="shared" si="48"/>
        <v>0</v>
      </c>
      <c r="S178" s="178" t="e">
        <f t="shared" ca="1" si="49"/>
        <v>#VALUE!</v>
      </c>
      <c r="T178" s="178" t="e">
        <f t="shared" ca="1" si="50"/>
        <v>#VALUE!</v>
      </c>
      <c r="U178" s="178" t="e">
        <f t="shared" ca="1" si="60"/>
        <v>#VALUE!</v>
      </c>
      <c r="V178" s="183" t="e">
        <f t="shared" ca="1" si="61"/>
        <v>#VALUE!</v>
      </c>
      <c r="W178" s="184" t="e">
        <f t="shared" ca="1" si="45"/>
        <v>#VALUE!</v>
      </c>
    </row>
    <row r="179" spans="1:23" hidden="1" x14ac:dyDescent="0.25">
      <c r="A179" s="179" t="str">
        <f t="shared" si="51"/>
        <v/>
      </c>
      <c r="B179" s="173" t="e">
        <f t="shared" ca="1" si="46"/>
        <v>#VALUE!</v>
      </c>
      <c r="C179" s="173" t="e">
        <f t="shared" ca="1" si="47"/>
        <v>#VALUE!</v>
      </c>
      <c r="D179" s="179" t="str">
        <f t="shared" si="55"/>
        <v/>
      </c>
      <c r="E179" s="174" t="str">
        <f t="shared" si="56"/>
        <v/>
      </c>
      <c r="F179" s="174" t="str">
        <f>IF(AND(A178="",A180=""),"",IF(A179="",ROUND(SUM($F$25:F178),2),IF(A179=$D$8,$E$24-ROUND(SUM($F$25:F178),2),ROUND($E$24/$D$8,2))))</f>
        <v/>
      </c>
      <c r="G179" s="156" t="str">
        <f>IF(A178=$D$8,ROUND(SUM($G$25:G178),2),IF(A179&gt;$F$8,"",IF(T179&lt;&gt;T178,ROUND(SUM(V179*$F$9*E178/T179,W179*$F$9*E178/T178),2),ROUND(E178*$F$9*D179/T178,2))))</f>
        <v/>
      </c>
      <c r="H179" s="174" t="str">
        <f>IF(A178=$D$8,SUM($H$25:H178),IF(A178&gt;$D$8,"",F179+G179))</f>
        <v/>
      </c>
      <c r="I179" s="185" t="str">
        <f t="shared" si="57"/>
        <v/>
      </c>
      <c r="J179" s="185" t="str">
        <f t="shared" si="58"/>
        <v/>
      </c>
      <c r="K179" s="185"/>
      <c r="L179" s="185" t="str">
        <f t="shared" si="59"/>
        <v/>
      </c>
      <c r="M179" s="174" t="str">
        <f t="shared" si="54"/>
        <v/>
      </c>
      <c r="N179" s="174" t="str">
        <f t="shared" si="53"/>
        <v/>
      </c>
      <c r="O179" s="187"/>
      <c r="P179" s="181" t="str">
        <f>IF(A178=$D$8,XIRR(R$24:R178,C$24:C178),"")</f>
        <v/>
      </c>
      <c r="Q179" s="185" t="str">
        <f t="shared" si="52"/>
        <v/>
      </c>
      <c r="R179" s="177">
        <f t="shared" si="48"/>
        <v>0</v>
      </c>
      <c r="S179" s="178" t="e">
        <f t="shared" ca="1" si="49"/>
        <v>#VALUE!</v>
      </c>
      <c r="T179" s="178" t="e">
        <f t="shared" ca="1" si="50"/>
        <v>#VALUE!</v>
      </c>
      <c r="U179" s="178" t="e">
        <f t="shared" ca="1" si="60"/>
        <v>#VALUE!</v>
      </c>
      <c r="V179" s="183" t="e">
        <f t="shared" ca="1" si="61"/>
        <v>#VALUE!</v>
      </c>
      <c r="W179" s="184" t="e">
        <f t="shared" ca="1" si="45"/>
        <v>#VALUE!</v>
      </c>
    </row>
    <row r="180" spans="1:23" hidden="1" x14ac:dyDescent="0.25">
      <c r="A180" s="179" t="str">
        <f t="shared" si="51"/>
        <v/>
      </c>
      <c r="B180" s="173" t="e">
        <f t="shared" ca="1" si="46"/>
        <v>#VALUE!</v>
      </c>
      <c r="C180" s="173" t="e">
        <f t="shared" ca="1" si="47"/>
        <v>#VALUE!</v>
      </c>
      <c r="D180" s="179" t="str">
        <f t="shared" si="55"/>
        <v/>
      </c>
      <c r="E180" s="174" t="str">
        <f t="shared" si="56"/>
        <v/>
      </c>
      <c r="F180" s="174" t="str">
        <f>IF(AND(A179="",A181=""),"",IF(A180="",ROUND(SUM($F$25:F179),2),IF(A180=$D$8,$E$24-ROUND(SUM($F$25:F179),2),ROUND($E$24/$D$8,2))))</f>
        <v/>
      </c>
      <c r="G180" s="156" t="str">
        <f>IF(A179=$D$8,ROUND(SUM($G$25:G179),2),IF(A180&gt;$F$8,"",IF(T180&lt;&gt;T179,ROUND(SUM(V180*$F$9*E179/T180,W180*$F$9*E179/T179),2),ROUND(E179*$F$9*D180/T179,2))))</f>
        <v/>
      </c>
      <c r="H180" s="174" t="str">
        <f>IF(A179=$D$8,SUM($H$25:H179),IF(A179&gt;$D$8,"",F180+G180))</f>
        <v/>
      </c>
      <c r="I180" s="185" t="str">
        <f t="shared" si="57"/>
        <v/>
      </c>
      <c r="J180" s="185" t="str">
        <f t="shared" si="58"/>
        <v/>
      </c>
      <c r="K180" s="185"/>
      <c r="L180" s="185" t="str">
        <f t="shared" si="59"/>
        <v/>
      </c>
      <c r="M180" s="174" t="str">
        <f t="shared" si="54"/>
        <v/>
      </c>
      <c r="N180" s="174" t="str">
        <f t="shared" si="53"/>
        <v/>
      </c>
      <c r="O180" s="187"/>
      <c r="P180" s="181" t="str">
        <f>IF(A179=$D$8,XIRR(R$24:R179,C$24:C179),"")</f>
        <v/>
      </c>
      <c r="Q180" s="185" t="str">
        <f t="shared" si="52"/>
        <v/>
      </c>
      <c r="R180" s="177">
        <f t="shared" si="48"/>
        <v>0</v>
      </c>
      <c r="S180" s="178" t="e">
        <f t="shared" ca="1" si="49"/>
        <v>#VALUE!</v>
      </c>
      <c r="T180" s="178" t="e">
        <f t="shared" ca="1" si="50"/>
        <v>#VALUE!</v>
      </c>
      <c r="U180" s="178" t="e">
        <f t="shared" ca="1" si="60"/>
        <v>#VALUE!</v>
      </c>
      <c r="V180" s="183" t="e">
        <f t="shared" ca="1" si="61"/>
        <v>#VALUE!</v>
      </c>
      <c r="W180" s="184" t="e">
        <f t="shared" ca="1" si="45"/>
        <v>#VALUE!</v>
      </c>
    </row>
    <row r="181" spans="1:23" hidden="1" x14ac:dyDescent="0.25">
      <c r="A181" s="179" t="str">
        <f t="shared" si="51"/>
        <v/>
      </c>
      <c r="B181" s="173" t="e">
        <f t="shared" ca="1" si="46"/>
        <v>#VALUE!</v>
      </c>
      <c r="C181" s="173" t="e">
        <f t="shared" ca="1" si="47"/>
        <v>#VALUE!</v>
      </c>
      <c r="D181" s="179" t="str">
        <f t="shared" si="55"/>
        <v/>
      </c>
      <c r="E181" s="174" t="str">
        <f t="shared" si="56"/>
        <v/>
      </c>
      <c r="F181" s="174" t="str">
        <f>IF(AND(A180="",A182=""),"",IF(A181="",ROUND(SUM($F$25:F180),2),IF(A181=$D$8,$E$24-ROUND(SUM($F$25:F180),2),ROUND($E$24/$D$8,2))))</f>
        <v/>
      </c>
      <c r="G181" s="156" t="str">
        <f>IF(A180=$D$8,ROUND(SUM($G$25:G180),2),IF(A181&gt;$F$8,"",IF(T181&lt;&gt;T180,ROUND(SUM(V181*$F$9*E180/T181,W181*$F$9*E180/T180),2),ROUND(E180*$F$9*D181/T180,2))))</f>
        <v/>
      </c>
      <c r="H181" s="174" t="str">
        <f>IF(A180=$D$8,SUM($H$25:H180),IF(A180&gt;$D$8,"",F181+G181))</f>
        <v/>
      </c>
      <c r="I181" s="185" t="str">
        <f t="shared" si="57"/>
        <v/>
      </c>
      <c r="J181" s="185" t="str">
        <f t="shared" si="58"/>
        <v/>
      </c>
      <c r="K181" s="185" t="str">
        <f>IF($F$8&gt;156,($O$8+$O$10),IF($A$180=$F$8,$K$24*$G$8,""))</f>
        <v/>
      </c>
      <c r="L181" s="185" t="str">
        <f t="shared" si="59"/>
        <v/>
      </c>
      <c r="M181" s="174" t="str">
        <f t="shared" si="54"/>
        <v/>
      </c>
      <c r="N181" s="185" t="str">
        <f>IF($F$8&gt;156,($N$14),IF(A180=$F$8,N169+N157+N145+N133+N121+N109+N97+N85+N73+N61+N49+N37+N24,""))</f>
        <v/>
      </c>
      <c r="O181" s="187"/>
      <c r="P181" s="181" t="str">
        <f>IF(A180=$D$8,XIRR(R$24:R180,C$24:C180),"")</f>
        <v/>
      </c>
      <c r="Q181" s="185" t="str">
        <f t="shared" si="52"/>
        <v/>
      </c>
      <c r="R181" s="177">
        <f t="shared" si="48"/>
        <v>0</v>
      </c>
      <c r="S181" s="178" t="e">
        <f t="shared" ca="1" si="49"/>
        <v>#VALUE!</v>
      </c>
      <c r="T181" s="178" t="e">
        <f t="shared" ca="1" si="50"/>
        <v>#VALUE!</v>
      </c>
      <c r="U181" s="178" t="e">
        <f t="shared" ca="1" si="60"/>
        <v>#VALUE!</v>
      </c>
      <c r="V181" s="183" t="e">
        <f t="shared" ca="1" si="61"/>
        <v>#VALUE!</v>
      </c>
      <c r="W181" s="184" t="e">
        <f t="shared" ca="1" si="45"/>
        <v>#VALUE!</v>
      </c>
    </row>
    <row r="182" spans="1:23" hidden="1" x14ac:dyDescent="0.25">
      <c r="A182" s="179" t="str">
        <f t="shared" si="51"/>
        <v/>
      </c>
      <c r="B182" s="173" t="e">
        <f t="shared" ca="1" si="46"/>
        <v>#VALUE!</v>
      </c>
      <c r="C182" s="173" t="e">
        <f t="shared" ca="1" si="47"/>
        <v>#VALUE!</v>
      </c>
      <c r="D182" s="179" t="str">
        <f t="shared" si="55"/>
        <v/>
      </c>
      <c r="E182" s="174" t="str">
        <f t="shared" si="56"/>
        <v/>
      </c>
      <c r="F182" s="174" t="str">
        <f>IF(AND(A181="",A183=""),"",IF(A182="",ROUND(SUM($F$25:F181),2),IF(A182=$D$8,$E$24-ROUND(SUM($F$25:F181),2),ROUND($E$24/$D$8,2))))</f>
        <v/>
      </c>
      <c r="G182" s="156" t="str">
        <f>IF(A181=$D$8,ROUND(SUM($G$25:G181),2),IF(A182&gt;$F$8,"",IF(T182&lt;&gt;T181,ROUND(SUM(V182*$F$9*E181/T182,W182*$F$9*E181/T181),2),ROUND(E181*$F$9*D182/T181,2))))</f>
        <v/>
      </c>
      <c r="H182" s="174" t="str">
        <f>IF(A181=$D$8,SUM($H$25:H181),IF(A181&gt;$D$8,"",F182+G182))</f>
        <v/>
      </c>
      <c r="I182" s="185" t="str">
        <f t="shared" si="57"/>
        <v/>
      </c>
      <c r="J182" s="185" t="str">
        <f t="shared" si="58"/>
        <v/>
      </c>
      <c r="K182" s="185"/>
      <c r="L182" s="185" t="str">
        <f t="shared" si="59"/>
        <v/>
      </c>
      <c r="M182" s="174" t="str">
        <f t="shared" si="54"/>
        <v/>
      </c>
      <c r="N182" s="174" t="str">
        <f t="shared" si="53"/>
        <v/>
      </c>
      <c r="O182" s="187"/>
      <c r="P182" s="181" t="str">
        <f>IF(A181=$D$8,XIRR(R$24:R181,C$24:C181),"")</f>
        <v/>
      </c>
      <c r="Q182" s="185" t="str">
        <f t="shared" si="52"/>
        <v/>
      </c>
      <c r="R182" s="177">
        <f t="shared" si="48"/>
        <v>0</v>
      </c>
      <c r="S182" s="178" t="e">
        <f t="shared" ca="1" si="49"/>
        <v>#VALUE!</v>
      </c>
      <c r="T182" s="178" t="e">
        <f t="shared" ca="1" si="50"/>
        <v>#VALUE!</v>
      </c>
      <c r="U182" s="178" t="e">
        <f t="shared" ca="1" si="60"/>
        <v>#VALUE!</v>
      </c>
      <c r="V182" s="183" t="e">
        <f t="shared" ca="1" si="61"/>
        <v>#VALUE!</v>
      </c>
      <c r="W182" s="184" t="e">
        <f t="shared" ca="1" si="45"/>
        <v>#VALUE!</v>
      </c>
    </row>
    <row r="183" spans="1:23" hidden="1" x14ac:dyDescent="0.25">
      <c r="A183" s="179" t="str">
        <f t="shared" si="51"/>
        <v/>
      </c>
      <c r="B183" s="173" t="e">
        <f t="shared" ca="1" si="46"/>
        <v>#VALUE!</v>
      </c>
      <c r="C183" s="173" t="e">
        <f t="shared" ca="1" si="47"/>
        <v>#VALUE!</v>
      </c>
      <c r="D183" s="179" t="str">
        <f t="shared" si="55"/>
        <v/>
      </c>
      <c r="E183" s="174" t="str">
        <f t="shared" si="56"/>
        <v/>
      </c>
      <c r="F183" s="174" t="str">
        <f>IF(AND(A182="",A184=""),"",IF(A183="",ROUND(SUM($F$25:F182),2),IF(A183=$D$8,$E$24-ROUND(SUM($F$25:F182),2),ROUND($E$24/$D$8,2))))</f>
        <v/>
      </c>
      <c r="G183" s="156" t="str">
        <f>IF(A182=$D$8,ROUND(SUM($G$25:G182),2),IF(A183&gt;$F$8,"",IF(T183&lt;&gt;T182,ROUND(SUM(V183*$F$9*E182/T183,W183*$F$9*E182/T182),2),ROUND(E182*$F$9*D183/T182,2))))</f>
        <v/>
      </c>
      <c r="H183" s="174" t="str">
        <f>IF(A182=$D$8,SUM($H$25:H182),IF(A182&gt;$D$8,"",F183+G183))</f>
        <v/>
      </c>
      <c r="I183" s="185" t="str">
        <f t="shared" si="57"/>
        <v/>
      </c>
      <c r="J183" s="185" t="str">
        <f t="shared" si="58"/>
        <v/>
      </c>
      <c r="K183" s="185"/>
      <c r="L183" s="185" t="str">
        <f t="shared" si="59"/>
        <v/>
      </c>
      <c r="M183" s="174" t="str">
        <f t="shared" si="54"/>
        <v/>
      </c>
      <c r="N183" s="174" t="str">
        <f t="shared" si="53"/>
        <v/>
      </c>
      <c r="O183" s="187"/>
      <c r="P183" s="181" t="str">
        <f>IF(A182=$D$8,XIRR(R$24:R182,C$24:C182),"")</f>
        <v/>
      </c>
      <c r="Q183" s="185" t="str">
        <f t="shared" si="52"/>
        <v/>
      </c>
      <c r="R183" s="177">
        <f t="shared" si="48"/>
        <v>0</v>
      </c>
      <c r="S183" s="178" t="e">
        <f t="shared" ca="1" si="49"/>
        <v>#VALUE!</v>
      </c>
      <c r="T183" s="178" t="e">
        <f t="shared" ca="1" si="50"/>
        <v>#VALUE!</v>
      </c>
      <c r="U183" s="178" t="e">
        <f t="shared" ca="1" si="60"/>
        <v>#VALUE!</v>
      </c>
      <c r="V183" s="183" t="e">
        <f t="shared" ca="1" si="61"/>
        <v>#VALUE!</v>
      </c>
      <c r="W183" s="184" t="e">
        <f t="shared" ca="1" si="45"/>
        <v>#VALUE!</v>
      </c>
    </row>
    <row r="184" spans="1:23" hidden="1" x14ac:dyDescent="0.25">
      <c r="A184" s="179" t="str">
        <f t="shared" si="51"/>
        <v/>
      </c>
      <c r="B184" s="173" t="e">
        <f t="shared" ca="1" si="46"/>
        <v>#VALUE!</v>
      </c>
      <c r="C184" s="173" t="e">
        <f t="shared" ca="1" si="47"/>
        <v>#VALUE!</v>
      </c>
      <c r="D184" s="179" t="str">
        <f t="shared" si="55"/>
        <v/>
      </c>
      <c r="E184" s="174" t="str">
        <f t="shared" si="56"/>
        <v/>
      </c>
      <c r="F184" s="174" t="str">
        <f>IF(AND(A183="",A185=""),"",IF(A184="",ROUND(SUM($F$25:F183),2),IF(A184=$D$8,$E$24-ROUND(SUM($F$25:F183),2),ROUND($E$24/$D$8,2))))</f>
        <v/>
      </c>
      <c r="G184" s="156" t="str">
        <f>IF(A183=$D$8,ROUND(SUM($G$25:G183),2),IF(A184&gt;$F$8,"",IF(T184&lt;&gt;T183,ROUND(SUM(V184*$F$9*E183/T184,W184*$F$9*E183/T183),2),ROUND(E183*$F$9*D184/T183,2))))</f>
        <v/>
      </c>
      <c r="H184" s="174" t="str">
        <f>IF(A183=$D$8,SUM($H$25:H183),IF(A183&gt;$D$8,"",F184+G184))</f>
        <v/>
      </c>
      <c r="I184" s="185" t="str">
        <f t="shared" si="57"/>
        <v/>
      </c>
      <c r="J184" s="185" t="str">
        <f t="shared" si="58"/>
        <v/>
      </c>
      <c r="K184" s="185"/>
      <c r="L184" s="185" t="str">
        <f t="shared" si="59"/>
        <v/>
      </c>
      <c r="M184" s="174" t="str">
        <f t="shared" si="54"/>
        <v/>
      </c>
      <c r="N184" s="174" t="str">
        <f t="shared" si="53"/>
        <v/>
      </c>
      <c r="O184" s="187"/>
      <c r="P184" s="181" t="str">
        <f>IF(A183=$D$8,XIRR(R$24:R183,C$24:C183),"")</f>
        <v/>
      </c>
      <c r="Q184" s="185" t="str">
        <f t="shared" si="52"/>
        <v/>
      </c>
      <c r="R184" s="177">
        <f t="shared" si="48"/>
        <v>0</v>
      </c>
      <c r="S184" s="178" t="e">
        <f t="shared" ca="1" si="49"/>
        <v>#VALUE!</v>
      </c>
      <c r="T184" s="178" t="e">
        <f t="shared" ca="1" si="50"/>
        <v>#VALUE!</v>
      </c>
      <c r="U184" s="178" t="e">
        <f t="shared" ca="1" si="60"/>
        <v>#VALUE!</v>
      </c>
      <c r="V184" s="183" t="e">
        <f t="shared" ca="1" si="61"/>
        <v>#VALUE!</v>
      </c>
      <c r="W184" s="184" t="e">
        <f t="shared" ca="1" si="45"/>
        <v>#VALUE!</v>
      </c>
    </row>
    <row r="185" spans="1:23" hidden="1" x14ac:dyDescent="0.25">
      <c r="A185" s="179" t="str">
        <f t="shared" si="51"/>
        <v/>
      </c>
      <c r="B185" s="173" t="e">
        <f t="shared" ca="1" si="46"/>
        <v>#VALUE!</v>
      </c>
      <c r="C185" s="173" t="e">
        <f t="shared" ca="1" si="47"/>
        <v>#VALUE!</v>
      </c>
      <c r="D185" s="179" t="str">
        <f t="shared" si="55"/>
        <v/>
      </c>
      <c r="E185" s="174" t="str">
        <f t="shared" si="56"/>
        <v/>
      </c>
      <c r="F185" s="174" t="str">
        <f>IF(AND(A184="",A186=""),"",IF(A185="",ROUND(SUM($F$25:F184),2),IF(A185=$D$8,$E$24-ROUND(SUM($F$25:F184),2),ROUND($E$24/$D$8,2))))</f>
        <v/>
      </c>
      <c r="G185" s="156" t="str">
        <f>IF(A184=$D$8,ROUND(SUM($G$25:G184),2),IF(A185&gt;$F$8,"",IF(T185&lt;&gt;T184,ROUND(SUM(V185*$F$9*E184/T185,W185*$F$9*E184/T184),2),ROUND(E184*$F$9*D185/T184,2))))</f>
        <v/>
      </c>
      <c r="H185" s="174" t="str">
        <f>IF(A184=$D$8,SUM($H$25:H184),IF(A184&gt;$D$8,"",F185+G185))</f>
        <v/>
      </c>
      <c r="I185" s="185" t="str">
        <f t="shared" si="57"/>
        <v/>
      </c>
      <c r="J185" s="185" t="str">
        <f t="shared" si="58"/>
        <v/>
      </c>
      <c r="K185" s="185"/>
      <c r="L185" s="185" t="str">
        <f t="shared" si="59"/>
        <v/>
      </c>
      <c r="M185" s="174" t="str">
        <f t="shared" si="54"/>
        <v/>
      </c>
      <c r="N185" s="174" t="str">
        <f t="shared" si="53"/>
        <v/>
      </c>
      <c r="O185" s="187"/>
      <c r="P185" s="181" t="str">
        <f>IF(A184=$D$8,XIRR(R$24:R184,C$24:C184),"")</f>
        <v/>
      </c>
      <c r="Q185" s="185" t="str">
        <f t="shared" si="52"/>
        <v/>
      </c>
      <c r="R185" s="177">
        <f t="shared" si="48"/>
        <v>0</v>
      </c>
      <c r="S185" s="178" t="e">
        <f t="shared" ca="1" si="49"/>
        <v>#VALUE!</v>
      </c>
      <c r="T185" s="178" t="e">
        <f t="shared" ca="1" si="50"/>
        <v>#VALUE!</v>
      </c>
      <c r="U185" s="178" t="e">
        <f t="shared" ca="1" si="60"/>
        <v>#VALUE!</v>
      </c>
      <c r="V185" s="183" t="e">
        <f t="shared" ca="1" si="61"/>
        <v>#VALUE!</v>
      </c>
      <c r="W185" s="184" t="e">
        <f t="shared" ca="1" si="45"/>
        <v>#VALUE!</v>
      </c>
    </row>
    <row r="186" spans="1:23" hidden="1" x14ac:dyDescent="0.25">
      <c r="A186" s="179" t="str">
        <f t="shared" si="51"/>
        <v/>
      </c>
      <c r="B186" s="173" t="e">
        <f t="shared" ca="1" si="46"/>
        <v>#VALUE!</v>
      </c>
      <c r="C186" s="173" t="e">
        <f t="shared" ca="1" si="47"/>
        <v>#VALUE!</v>
      </c>
      <c r="D186" s="179" t="str">
        <f t="shared" si="55"/>
        <v/>
      </c>
      <c r="E186" s="174" t="str">
        <f t="shared" si="56"/>
        <v/>
      </c>
      <c r="F186" s="174" t="str">
        <f>IF(AND(A185="",A187=""),"",IF(A186="",ROUND(SUM($F$25:F185),2),IF(A186=$D$8,$E$24-ROUND(SUM($F$25:F185),2),ROUND($E$24/$D$8,2))))</f>
        <v/>
      </c>
      <c r="G186" s="156" t="str">
        <f>IF(A185=$D$8,ROUND(SUM($G$25:G185),2),IF(A186&gt;$F$8,"",IF(T186&lt;&gt;T185,ROUND(SUM(V186*$F$9*E185/T186,W186*$F$9*E185/T185),2),ROUND(E185*$F$9*D186/T185,2))))</f>
        <v/>
      </c>
      <c r="H186" s="174" t="str">
        <f>IF(A185=$D$8,SUM($H$25:H185),IF(A185&gt;$D$8,"",F186+G186))</f>
        <v/>
      </c>
      <c r="I186" s="185" t="str">
        <f t="shared" si="57"/>
        <v/>
      </c>
      <c r="J186" s="185" t="str">
        <f t="shared" si="58"/>
        <v/>
      </c>
      <c r="K186" s="185"/>
      <c r="L186" s="185" t="str">
        <f t="shared" si="59"/>
        <v/>
      </c>
      <c r="M186" s="174" t="str">
        <f t="shared" si="54"/>
        <v/>
      </c>
      <c r="N186" s="174" t="str">
        <f t="shared" si="53"/>
        <v/>
      </c>
      <c r="O186" s="187"/>
      <c r="P186" s="181" t="str">
        <f>IF(A185=$D$8,XIRR(R$24:R185,C$24:C185),"")</f>
        <v/>
      </c>
      <c r="Q186" s="185" t="str">
        <f t="shared" si="52"/>
        <v/>
      </c>
      <c r="R186" s="177">
        <f t="shared" si="48"/>
        <v>0</v>
      </c>
      <c r="S186" s="178" t="e">
        <f t="shared" ca="1" si="49"/>
        <v>#VALUE!</v>
      </c>
      <c r="T186" s="178" t="e">
        <f t="shared" ca="1" si="50"/>
        <v>#VALUE!</v>
      </c>
      <c r="U186" s="178" t="e">
        <f t="shared" ca="1" si="60"/>
        <v>#VALUE!</v>
      </c>
      <c r="V186" s="183" t="e">
        <f t="shared" ca="1" si="61"/>
        <v>#VALUE!</v>
      </c>
      <c r="W186" s="184" t="e">
        <f t="shared" ca="1" si="45"/>
        <v>#VALUE!</v>
      </c>
    </row>
    <row r="187" spans="1:23" hidden="1" x14ac:dyDescent="0.25">
      <c r="A187" s="179" t="str">
        <f t="shared" si="51"/>
        <v/>
      </c>
      <c r="B187" s="173" t="e">
        <f t="shared" ca="1" si="46"/>
        <v>#VALUE!</v>
      </c>
      <c r="C187" s="173" t="e">
        <f t="shared" ca="1" si="47"/>
        <v>#VALUE!</v>
      </c>
      <c r="D187" s="179" t="str">
        <f t="shared" si="55"/>
        <v/>
      </c>
      <c r="E187" s="174" t="str">
        <f t="shared" si="56"/>
        <v/>
      </c>
      <c r="F187" s="174" t="str">
        <f>IF(AND(A186="",A188=""),"",IF(A187="",ROUND(SUM($F$25:F186),2),IF(A187=$D$8,$E$24-ROUND(SUM($F$25:F186),2),ROUND($E$24/$D$8,2))))</f>
        <v/>
      </c>
      <c r="G187" s="156" t="str">
        <f>IF(A186=$D$8,ROUND(SUM($G$25:G186),2),IF(A187&gt;$F$8,"",IF(T187&lt;&gt;T186,ROUND(SUM(V187*$F$9*E186/T187,W187*$F$9*E186/T186),2),ROUND(E186*$F$9*D187/T186,2))))</f>
        <v/>
      </c>
      <c r="H187" s="174" t="str">
        <f>IF(A186=$D$8,SUM($H$25:H186),IF(A186&gt;$D$8,"",F187+G187))</f>
        <v/>
      </c>
      <c r="I187" s="185" t="str">
        <f t="shared" si="57"/>
        <v/>
      </c>
      <c r="J187" s="185" t="str">
        <f t="shared" si="58"/>
        <v/>
      </c>
      <c r="K187" s="185"/>
      <c r="L187" s="185" t="str">
        <f t="shared" si="59"/>
        <v/>
      </c>
      <c r="M187" s="174" t="str">
        <f t="shared" si="54"/>
        <v/>
      </c>
      <c r="N187" s="174" t="str">
        <f t="shared" si="53"/>
        <v/>
      </c>
      <c r="O187" s="187"/>
      <c r="P187" s="181" t="str">
        <f>IF(A186=$D$8,XIRR(R$24:R186,C$24:C186),"")</f>
        <v/>
      </c>
      <c r="Q187" s="185" t="str">
        <f t="shared" si="52"/>
        <v/>
      </c>
      <c r="R187" s="177">
        <f t="shared" si="48"/>
        <v>0</v>
      </c>
      <c r="S187" s="178" t="e">
        <f t="shared" ca="1" si="49"/>
        <v>#VALUE!</v>
      </c>
      <c r="T187" s="178" t="e">
        <f t="shared" ca="1" si="50"/>
        <v>#VALUE!</v>
      </c>
      <c r="U187" s="178" t="e">
        <f t="shared" ca="1" si="60"/>
        <v>#VALUE!</v>
      </c>
      <c r="V187" s="183" t="e">
        <f t="shared" ca="1" si="61"/>
        <v>#VALUE!</v>
      </c>
      <c r="W187" s="184" t="e">
        <f t="shared" ca="1" si="45"/>
        <v>#VALUE!</v>
      </c>
    </row>
    <row r="188" spans="1:23" hidden="1" x14ac:dyDescent="0.25">
      <c r="A188" s="179" t="str">
        <f t="shared" si="51"/>
        <v/>
      </c>
      <c r="B188" s="173" t="e">
        <f t="shared" ca="1" si="46"/>
        <v>#VALUE!</v>
      </c>
      <c r="C188" s="173" t="e">
        <f t="shared" ca="1" si="47"/>
        <v>#VALUE!</v>
      </c>
      <c r="D188" s="179" t="str">
        <f t="shared" si="55"/>
        <v/>
      </c>
      <c r="E188" s="174" t="str">
        <f t="shared" si="56"/>
        <v/>
      </c>
      <c r="F188" s="174" t="str">
        <f>IF(AND(A187="",A189=""),"",IF(A188="",ROUND(SUM($F$25:F187),2),IF(A188=$D$8,$E$24-ROUND(SUM($F$25:F187),2),ROUND($E$24/$D$8,2))))</f>
        <v/>
      </c>
      <c r="G188" s="156" t="str">
        <f>IF(A187=$D$8,ROUND(SUM($G$25:G187),2),IF(A188&gt;$F$8,"",IF(T188&lt;&gt;T187,ROUND(SUM(V188*$F$9*E187/T188,W188*$F$9*E187/T187),2),ROUND(E187*$F$9*D188/T187,2))))</f>
        <v/>
      </c>
      <c r="H188" s="174" t="str">
        <f>IF(A187=$D$8,SUM($H$25:H187),IF(A187&gt;$D$8,"",F188+G188))</f>
        <v/>
      </c>
      <c r="I188" s="185" t="str">
        <f t="shared" si="57"/>
        <v/>
      </c>
      <c r="J188" s="185" t="str">
        <f t="shared" si="58"/>
        <v/>
      </c>
      <c r="K188" s="185"/>
      <c r="L188" s="185" t="str">
        <f t="shared" si="59"/>
        <v/>
      </c>
      <c r="M188" s="174" t="str">
        <f t="shared" si="54"/>
        <v/>
      </c>
      <c r="N188" s="174" t="str">
        <f t="shared" si="53"/>
        <v/>
      </c>
      <c r="O188" s="187"/>
      <c r="P188" s="181" t="str">
        <f>IF(A187=$D$8,XIRR(R$24:R187,C$24:C187),"")</f>
        <v/>
      </c>
      <c r="Q188" s="185" t="str">
        <f t="shared" si="52"/>
        <v/>
      </c>
      <c r="R188" s="177">
        <f t="shared" si="48"/>
        <v>0</v>
      </c>
      <c r="S188" s="178" t="e">
        <f t="shared" ca="1" si="49"/>
        <v>#VALUE!</v>
      </c>
      <c r="T188" s="178" t="e">
        <f t="shared" ca="1" si="50"/>
        <v>#VALUE!</v>
      </c>
      <c r="U188" s="178" t="e">
        <f t="shared" ca="1" si="60"/>
        <v>#VALUE!</v>
      </c>
      <c r="V188" s="183" t="e">
        <f t="shared" ca="1" si="61"/>
        <v>#VALUE!</v>
      </c>
      <c r="W188" s="184" t="e">
        <f t="shared" ca="1" si="45"/>
        <v>#VALUE!</v>
      </c>
    </row>
    <row r="189" spans="1:23" hidden="1" x14ac:dyDescent="0.25">
      <c r="A189" s="179" t="str">
        <f t="shared" si="51"/>
        <v/>
      </c>
      <c r="B189" s="173" t="e">
        <f t="shared" ca="1" si="46"/>
        <v>#VALUE!</v>
      </c>
      <c r="C189" s="173" t="e">
        <f t="shared" ca="1" si="47"/>
        <v>#VALUE!</v>
      </c>
      <c r="D189" s="179" t="str">
        <f t="shared" si="55"/>
        <v/>
      </c>
      <c r="E189" s="174" t="str">
        <f t="shared" si="56"/>
        <v/>
      </c>
      <c r="F189" s="174" t="str">
        <f>IF(AND(A188="",A190=""),"",IF(A189="",ROUND(SUM($F$25:F188),2),IF(A189=$D$8,$E$24-ROUND(SUM($F$25:F188),2),ROUND($E$24/$D$8,2))))</f>
        <v/>
      </c>
      <c r="G189" s="156" t="str">
        <f>IF(A188=$D$8,ROUND(SUM($G$25:G188),2),IF(A189&gt;$F$8,"",IF(T189&lt;&gt;T188,ROUND(SUM(V189*$F$9*E188/T189,W189*$F$9*E188/T188),2),ROUND(E188*$F$9*D189/T188,2))))</f>
        <v/>
      </c>
      <c r="H189" s="174" t="str">
        <f>IF(A188=$D$8,SUM($H$25:H188),IF(A188&gt;$D$8,"",F189+G189))</f>
        <v/>
      </c>
      <c r="I189" s="185" t="str">
        <f t="shared" si="57"/>
        <v/>
      </c>
      <c r="J189" s="185" t="str">
        <f t="shared" si="58"/>
        <v/>
      </c>
      <c r="K189" s="185"/>
      <c r="L189" s="185" t="str">
        <f t="shared" si="59"/>
        <v/>
      </c>
      <c r="M189" s="174" t="str">
        <f t="shared" si="54"/>
        <v/>
      </c>
      <c r="N189" s="174" t="str">
        <f t="shared" si="53"/>
        <v/>
      </c>
      <c r="O189" s="188"/>
      <c r="P189" s="181" t="str">
        <f>IF(A188=$D$8,XIRR(R$24:R188,C$24:C188),"")</f>
        <v/>
      </c>
      <c r="Q189" s="185" t="str">
        <f t="shared" si="52"/>
        <v/>
      </c>
      <c r="R189" s="177">
        <f t="shared" si="48"/>
        <v>0</v>
      </c>
      <c r="S189" s="178" t="e">
        <f t="shared" ca="1" si="49"/>
        <v>#VALUE!</v>
      </c>
      <c r="T189" s="178" t="e">
        <f t="shared" ca="1" si="50"/>
        <v>#VALUE!</v>
      </c>
      <c r="U189" s="178" t="e">
        <f t="shared" ca="1" si="60"/>
        <v>#VALUE!</v>
      </c>
      <c r="V189" s="183" t="e">
        <f t="shared" ca="1" si="61"/>
        <v>#VALUE!</v>
      </c>
      <c r="W189" s="184" t="e">
        <f t="shared" ca="1" si="45"/>
        <v>#VALUE!</v>
      </c>
    </row>
    <row r="190" spans="1:23" hidden="1" x14ac:dyDescent="0.25">
      <c r="A190" s="179" t="str">
        <f t="shared" si="51"/>
        <v/>
      </c>
      <c r="B190" s="173" t="e">
        <f t="shared" ca="1" si="46"/>
        <v>#VALUE!</v>
      </c>
      <c r="C190" s="173" t="e">
        <f t="shared" ca="1" si="47"/>
        <v>#VALUE!</v>
      </c>
      <c r="D190" s="179" t="str">
        <f t="shared" si="55"/>
        <v/>
      </c>
      <c r="E190" s="174" t="str">
        <f t="shared" si="56"/>
        <v/>
      </c>
      <c r="F190" s="174" t="str">
        <f>IF(AND(A189="",A191=""),"",IF(A190="",ROUND(SUM($F$25:F189),2),IF(A190=$D$8,$E$24-ROUND(SUM($F$25:F189),2),ROUND($E$24/$D$8,2))))</f>
        <v/>
      </c>
      <c r="G190" s="156" t="str">
        <f>IF(A189=$D$8,ROUND(SUM($G$25:G189),2),IF(A190&gt;$F$8,"",IF(T190&lt;&gt;T189,ROUND(SUM(V190*$F$9*E189/T190,W190*$F$9*E189/T189),2),ROUND(E189*$F$9*D190/T189,2))))</f>
        <v/>
      </c>
      <c r="H190" s="174" t="str">
        <f>IF(A189=$D$8,SUM($H$25:H189),IF(A189&gt;$D$8,"",F190+G190))</f>
        <v/>
      </c>
      <c r="I190" s="185" t="str">
        <f t="shared" si="57"/>
        <v/>
      </c>
      <c r="J190" s="185" t="str">
        <f t="shared" si="58"/>
        <v/>
      </c>
      <c r="K190" s="185"/>
      <c r="L190" s="185" t="str">
        <f t="shared" si="59"/>
        <v/>
      </c>
      <c r="M190" s="174" t="str">
        <f t="shared" si="54"/>
        <v/>
      </c>
      <c r="N190" s="174" t="str">
        <f t="shared" si="53"/>
        <v/>
      </c>
      <c r="O190" s="188"/>
      <c r="P190" s="181" t="str">
        <f>IF(A189=$D$8,XIRR(R$24:R189,C$24:C189),"")</f>
        <v/>
      </c>
      <c r="Q190" s="185" t="str">
        <f t="shared" si="52"/>
        <v/>
      </c>
      <c r="R190" s="177">
        <f t="shared" si="48"/>
        <v>0</v>
      </c>
      <c r="S190" s="178" t="e">
        <f t="shared" ca="1" si="49"/>
        <v>#VALUE!</v>
      </c>
      <c r="T190" s="178" t="e">
        <f t="shared" ca="1" si="50"/>
        <v>#VALUE!</v>
      </c>
      <c r="U190" s="178" t="e">
        <f t="shared" ca="1" si="60"/>
        <v>#VALUE!</v>
      </c>
      <c r="V190" s="183" t="e">
        <f t="shared" ca="1" si="61"/>
        <v>#VALUE!</v>
      </c>
      <c r="W190" s="184" t="e">
        <f t="shared" ca="1" si="45"/>
        <v>#VALUE!</v>
      </c>
    </row>
    <row r="191" spans="1:23" hidden="1" x14ac:dyDescent="0.25">
      <c r="A191" s="179" t="str">
        <f t="shared" si="51"/>
        <v/>
      </c>
      <c r="B191" s="173" t="e">
        <f t="shared" ca="1" si="46"/>
        <v>#VALUE!</v>
      </c>
      <c r="C191" s="173" t="e">
        <f t="shared" ca="1" si="47"/>
        <v>#VALUE!</v>
      </c>
      <c r="D191" s="179" t="str">
        <f t="shared" si="55"/>
        <v/>
      </c>
      <c r="E191" s="174" t="str">
        <f t="shared" si="56"/>
        <v/>
      </c>
      <c r="F191" s="174" t="str">
        <f>IF(AND(A190="",A192=""),"",IF(A191="",ROUND(SUM($F$25:F190),2),IF(A191=$D$8,$E$24-ROUND(SUM($F$25:F190),2),ROUND($E$24/$D$8,2))))</f>
        <v/>
      </c>
      <c r="G191" s="156" t="str">
        <f>IF(A190=$D$8,ROUND(SUM($G$25:G190),2),IF(A191&gt;$F$8,"",IF(T191&lt;&gt;T190,ROUND(SUM(V191*$F$9*E190/T191,W191*$F$9*E190/T190),2),ROUND(E190*$F$9*D191/T190,2))))</f>
        <v/>
      </c>
      <c r="H191" s="174" t="str">
        <f>IF(A190=$D$8,SUM($H$25:H190),IF(A190&gt;$D$8,"",F191+G191))</f>
        <v/>
      </c>
      <c r="I191" s="185" t="str">
        <f t="shared" si="57"/>
        <v/>
      </c>
      <c r="J191" s="185" t="str">
        <f t="shared" si="58"/>
        <v/>
      </c>
      <c r="K191" s="185"/>
      <c r="L191" s="185" t="str">
        <f t="shared" si="59"/>
        <v/>
      </c>
      <c r="M191" s="174" t="str">
        <f t="shared" si="54"/>
        <v/>
      </c>
      <c r="N191" s="174" t="str">
        <f t="shared" si="53"/>
        <v/>
      </c>
      <c r="O191" s="188"/>
      <c r="P191" s="181" t="str">
        <f>IF(A190=$D$8,XIRR(R$24:R190,C$24:C190),"")</f>
        <v/>
      </c>
      <c r="Q191" s="185" t="str">
        <f t="shared" si="52"/>
        <v/>
      </c>
      <c r="R191" s="177">
        <f t="shared" si="48"/>
        <v>0</v>
      </c>
      <c r="S191" s="178" t="e">
        <f t="shared" ca="1" si="49"/>
        <v>#VALUE!</v>
      </c>
      <c r="T191" s="178" t="e">
        <f t="shared" ca="1" si="50"/>
        <v>#VALUE!</v>
      </c>
      <c r="U191" s="178" t="e">
        <f t="shared" ca="1" si="60"/>
        <v>#VALUE!</v>
      </c>
      <c r="V191" s="183" t="e">
        <f t="shared" ca="1" si="61"/>
        <v>#VALUE!</v>
      </c>
      <c r="W191" s="184" t="e">
        <f t="shared" ca="1" si="45"/>
        <v>#VALUE!</v>
      </c>
    </row>
    <row r="192" spans="1:23" hidden="1" x14ac:dyDescent="0.25">
      <c r="A192" s="179" t="str">
        <f t="shared" si="51"/>
        <v/>
      </c>
      <c r="B192" s="173" t="e">
        <f t="shared" ca="1" si="46"/>
        <v>#VALUE!</v>
      </c>
      <c r="C192" s="173" t="e">
        <f t="shared" ca="1" si="47"/>
        <v>#VALUE!</v>
      </c>
      <c r="D192" s="179" t="str">
        <f t="shared" si="55"/>
        <v/>
      </c>
      <c r="E192" s="174" t="str">
        <f t="shared" si="56"/>
        <v/>
      </c>
      <c r="F192" s="174" t="str">
        <f>IF(AND(A191="",A193=""),"",IF(A192="",ROUND(SUM($F$25:F191),2),IF(A192=$D$8,$E$24-ROUND(SUM($F$25:F191),2),ROUND($E$24/$D$8,2))))</f>
        <v/>
      </c>
      <c r="G192" s="156" t="str">
        <f>IF(A191=$D$8,ROUND(SUM($G$25:G191),2),IF(A192&gt;$F$8,"",IF(T192&lt;&gt;T191,ROUND(SUM(V192*$F$9*E191/T192,W192*$F$9*E191/T191),2),ROUND(E191*$F$9*D192/T191,2))))</f>
        <v/>
      </c>
      <c r="H192" s="174" t="str">
        <f>IF(A191=$D$8,SUM($H$25:H191),IF(A191&gt;$D$8,"",F192+G192))</f>
        <v/>
      </c>
      <c r="I192" s="185" t="str">
        <f t="shared" si="57"/>
        <v/>
      </c>
      <c r="J192" s="185" t="str">
        <f t="shared" si="58"/>
        <v/>
      </c>
      <c r="K192" s="185"/>
      <c r="L192" s="185" t="str">
        <f t="shared" si="59"/>
        <v/>
      </c>
      <c r="M192" s="174" t="str">
        <f t="shared" si="54"/>
        <v/>
      </c>
      <c r="N192" s="174" t="str">
        <f t="shared" si="53"/>
        <v/>
      </c>
      <c r="O192" s="188"/>
      <c r="P192" s="181" t="str">
        <f>IF(A191=$D$8,XIRR(R$24:R191,C$24:C191),"")</f>
        <v/>
      </c>
      <c r="Q192" s="185" t="str">
        <f t="shared" si="52"/>
        <v/>
      </c>
      <c r="R192" s="177">
        <f t="shared" si="48"/>
        <v>0</v>
      </c>
      <c r="S192" s="178" t="e">
        <f t="shared" ca="1" si="49"/>
        <v>#VALUE!</v>
      </c>
      <c r="T192" s="178" t="e">
        <f t="shared" ca="1" si="50"/>
        <v>#VALUE!</v>
      </c>
      <c r="U192" s="178" t="e">
        <f t="shared" ca="1" si="60"/>
        <v>#VALUE!</v>
      </c>
      <c r="V192" s="183" t="e">
        <f t="shared" ca="1" si="61"/>
        <v>#VALUE!</v>
      </c>
      <c r="W192" s="184" t="e">
        <f t="shared" ca="1" si="45"/>
        <v>#VALUE!</v>
      </c>
    </row>
    <row r="193" spans="1:23" hidden="1" x14ac:dyDescent="0.25">
      <c r="A193" s="179" t="str">
        <f t="shared" si="51"/>
        <v/>
      </c>
      <c r="B193" s="173" t="e">
        <f t="shared" ca="1" si="46"/>
        <v>#VALUE!</v>
      </c>
      <c r="C193" s="173" t="e">
        <f t="shared" ca="1" si="47"/>
        <v>#VALUE!</v>
      </c>
      <c r="D193" s="179" t="str">
        <f t="shared" si="55"/>
        <v/>
      </c>
      <c r="E193" s="174" t="str">
        <f t="shared" si="56"/>
        <v/>
      </c>
      <c r="F193" s="174" t="str">
        <f>IF(AND(A192="",A194=""),"",IF(A193="",ROUND(SUM($F$25:F192),2),IF(A193=$D$8,$E$24-ROUND(SUM($F$25:F192),2),ROUND($E$24/$D$8,2))))</f>
        <v/>
      </c>
      <c r="G193" s="156" t="str">
        <f>IF(A192=$D$8,ROUND(SUM($G$25:G192),2),IF(A193&gt;$F$8,"",IF(T193&lt;&gt;T192,ROUND(SUM(V193*$F$9*E192/T193,W193*$F$9*E192/T192),2),ROUND(E192*$F$9*D193/T192,2))))</f>
        <v/>
      </c>
      <c r="H193" s="174" t="str">
        <f>IF(A192=$D$8,SUM($H$25:H192),IF(A192&gt;$D$8,"",F193+G193))</f>
        <v/>
      </c>
      <c r="I193" s="185" t="str">
        <f t="shared" si="57"/>
        <v/>
      </c>
      <c r="J193" s="185" t="str">
        <f t="shared" si="58"/>
        <v/>
      </c>
      <c r="K193" s="185" t="str">
        <f>IF($F$8&gt;168,($O$8+$O$10),IF($A$192=$F$8,$K$24*$G$8,""))</f>
        <v/>
      </c>
      <c r="L193" s="185" t="str">
        <f t="shared" si="59"/>
        <v/>
      </c>
      <c r="M193" s="174" t="str">
        <f t="shared" si="54"/>
        <v/>
      </c>
      <c r="N193" s="185" t="str">
        <f>IF($F$8&gt;168,($N$14),IF(A192=$F$8,N181+N169+N157+N145+N133+N121+N109+N97+N85+N73+N61+N49+N37+N24,""))</f>
        <v/>
      </c>
      <c r="O193" s="188"/>
      <c r="P193" s="181" t="str">
        <f>IF(A192=$D$8,XIRR(R$24:R192,C$24:C192),"")</f>
        <v/>
      </c>
      <c r="Q193" s="185" t="str">
        <f t="shared" si="52"/>
        <v/>
      </c>
      <c r="R193" s="177">
        <f t="shared" si="48"/>
        <v>0</v>
      </c>
      <c r="S193" s="178" t="e">
        <f t="shared" ca="1" si="49"/>
        <v>#VALUE!</v>
      </c>
      <c r="T193" s="178" t="e">
        <f t="shared" ca="1" si="50"/>
        <v>#VALUE!</v>
      </c>
      <c r="U193" s="178" t="e">
        <f t="shared" ca="1" si="60"/>
        <v>#VALUE!</v>
      </c>
      <c r="V193" s="183" t="e">
        <f t="shared" ca="1" si="61"/>
        <v>#VALUE!</v>
      </c>
      <c r="W193" s="184" t="e">
        <f t="shared" ca="1" si="45"/>
        <v>#VALUE!</v>
      </c>
    </row>
    <row r="194" spans="1:23" hidden="1" x14ac:dyDescent="0.25">
      <c r="A194" s="179" t="str">
        <f t="shared" si="51"/>
        <v/>
      </c>
      <c r="B194" s="173" t="e">
        <f t="shared" ca="1" si="46"/>
        <v>#VALUE!</v>
      </c>
      <c r="C194" s="173" t="e">
        <f t="shared" ca="1" si="47"/>
        <v>#VALUE!</v>
      </c>
      <c r="D194" s="179" t="str">
        <f t="shared" si="55"/>
        <v/>
      </c>
      <c r="E194" s="174" t="str">
        <f t="shared" si="56"/>
        <v/>
      </c>
      <c r="F194" s="174" t="str">
        <f>IF(AND(A193="",A195=""),"",IF(A194="",ROUND(SUM($F$25:F193),2),IF(A194=$D$8,$E$24-ROUND(SUM($F$25:F193),2),ROUND($E$24/$D$8,2))))</f>
        <v/>
      </c>
      <c r="G194" s="156" t="str">
        <f>IF(A193=$D$8,ROUND(SUM($G$25:G193),2),IF(A194&gt;$F$8,"",IF(T194&lt;&gt;T193,ROUND(SUM(V194*$F$9*E193/T194,W194*$F$9*E193/T193),2),ROUND(E193*$F$9*D194/T193,2))))</f>
        <v/>
      </c>
      <c r="H194" s="174" t="str">
        <f>IF(A193=$D$8,SUM($H$25:H193),IF(A193&gt;$D$8,"",F194+G194))</f>
        <v/>
      </c>
      <c r="I194" s="185" t="str">
        <f t="shared" si="57"/>
        <v/>
      </c>
      <c r="J194" s="185" t="str">
        <f t="shared" si="58"/>
        <v/>
      </c>
      <c r="K194" s="185"/>
      <c r="L194" s="185" t="str">
        <f t="shared" si="59"/>
        <v/>
      </c>
      <c r="M194" s="174" t="str">
        <f t="shared" si="54"/>
        <v/>
      </c>
      <c r="N194" s="174" t="str">
        <f t="shared" si="53"/>
        <v/>
      </c>
      <c r="O194" s="188"/>
      <c r="P194" s="181" t="str">
        <f>IF(A193=$D$8,XIRR(R$24:R193,C$24:C193),"")</f>
        <v/>
      </c>
      <c r="Q194" s="185" t="str">
        <f t="shared" si="52"/>
        <v/>
      </c>
      <c r="R194" s="177">
        <f t="shared" si="48"/>
        <v>0</v>
      </c>
      <c r="S194" s="178" t="e">
        <f t="shared" ca="1" si="49"/>
        <v>#VALUE!</v>
      </c>
      <c r="T194" s="178" t="e">
        <f t="shared" ca="1" si="50"/>
        <v>#VALUE!</v>
      </c>
      <c r="U194" s="178" t="e">
        <f t="shared" ca="1" si="60"/>
        <v>#VALUE!</v>
      </c>
      <c r="V194" s="183" t="e">
        <f t="shared" ca="1" si="61"/>
        <v>#VALUE!</v>
      </c>
      <c r="W194" s="184" t="e">
        <f t="shared" ca="1" si="45"/>
        <v>#VALUE!</v>
      </c>
    </row>
    <row r="195" spans="1:23" hidden="1" x14ac:dyDescent="0.25">
      <c r="A195" s="179" t="str">
        <f t="shared" si="51"/>
        <v/>
      </c>
      <c r="B195" s="173" t="e">
        <f t="shared" ca="1" si="46"/>
        <v>#VALUE!</v>
      </c>
      <c r="C195" s="173" t="e">
        <f t="shared" ca="1" si="47"/>
        <v>#VALUE!</v>
      </c>
      <c r="D195" s="179" t="str">
        <f t="shared" si="55"/>
        <v/>
      </c>
      <c r="E195" s="174" t="str">
        <f t="shared" si="56"/>
        <v/>
      </c>
      <c r="F195" s="174" t="str">
        <f>IF(AND(A194="",A196=""),"",IF(A195="",ROUND(SUM($F$25:F194),2),IF(A195=$D$8,$E$24-ROUND(SUM($F$25:F194),2),ROUND($E$24/$D$8,2))))</f>
        <v/>
      </c>
      <c r="G195" s="156" t="str">
        <f>IF(A194=$D$8,ROUND(SUM($G$25:G194),2),IF(A195&gt;$F$8,"",IF(T195&lt;&gt;T194,ROUND(SUM(V195*$F$9*E194/T195,W195*$F$9*E194/T194),2),ROUND(E194*$F$9*D195/T194,2))))</f>
        <v/>
      </c>
      <c r="H195" s="174" t="str">
        <f>IF(A194=$D$8,SUM($H$25:H194),IF(A194&gt;$D$8,"",F195+G195))</f>
        <v/>
      </c>
      <c r="I195" s="185" t="str">
        <f t="shared" si="57"/>
        <v/>
      </c>
      <c r="J195" s="185" t="str">
        <f t="shared" si="58"/>
        <v/>
      </c>
      <c r="K195" s="185"/>
      <c r="L195" s="185" t="str">
        <f t="shared" si="59"/>
        <v/>
      </c>
      <c r="M195" s="174" t="str">
        <f t="shared" si="54"/>
        <v/>
      </c>
      <c r="N195" s="174" t="str">
        <f t="shared" si="53"/>
        <v/>
      </c>
      <c r="O195" s="188"/>
      <c r="P195" s="181" t="str">
        <f>IF(A194=$D$8,XIRR(R$24:R194,C$24:C194),"")</f>
        <v/>
      </c>
      <c r="Q195" s="185" t="str">
        <f t="shared" si="52"/>
        <v/>
      </c>
      <c r="R195" s="177">
        <f t="shared" si="48"/>
        <v>0</v>
      </c>
      <c r="S195" s="178" t="e">
        <f t="shared" ca="1" si="49"/>
        <v>#VALUE!</v>
      </c>
      <c r="T195" s="178" t="e">
        <f t="shared" ca="1" si="50"/>
        <v>#VALUE!</v>
      </c>
      <c r="U195" s="178" t="e">
        <f t="shared" ca="1" si="60"/>
        <v>#VALUE!</v>
      </c>
      <c r="V195" s="183" t="e">
        <f t="shared" ca="1" si="61"/>
        <v>#VALUE!</v>
      </c>
      <c r="W195" s="184" t="e">
        <f t="shared" ca="1" si="45"/>
        <v>#VALUE!</v>
      </c>
    </row>
    <row r="196" spans="1:23" hidden="1" x14ac:dyDescent="0.25">
      <c r="A196" s="179" t="str">
        <f t="shared" si="51"/>
        <v/>
      </c>
      <c r="B196" s="173" t="e">
        <f t="shared" ca="1" si="46"/>
        <v>#VALUE!</v>
      </c>
      <c r="C196" s="173" t="e">
        <f t="shared" ca="1" si="47"/>
        <v>#VALUE!</v>
      </c>
      <c r="D196" s="179" t="str">
        <f t="shared" si="55"/>
        <v/>
      </c>
      <c r="E196" s="174" t="str">
        <f t="shared" si="56"/>
        <v/>
      </c>
      <c r="F196" s="174" t="str">
        <f>IF(AND(A195="",A197=""),"",IF(A196="",ROUND(SUM($F$25:F195),2),IF(A196=$D$8,$E$24-ROUND(SUM($F$25:F195),2),ROUND($E$24/$D$8,2))))</f>
        <v/>
      </c>
      <c r="G196" s="156" t="str">
        <f>IF(A195=$D$8,ROUND(SUM($G$25:G195),2),IF(A196&gt;$F$8,"",IF(T196&lt;&gt;T195,ROUND(SUM(V196*$F$9*E195/T196,W196*$F$9*E195/T195),2),ROUND(E195*$F$9*D196/T195,2))))</f>
        <v/>
      </c>
      <c r="H196" s="174" t="str">
        <f>IF(A195=$D$8,SUM($H$25:H195),IF(A195&gt;$D$8,"",F196+G196))</f>
        <v/>
      </c>
      <c r="I196" s="185" t="str">
        <f t="shared" si="57"/>
        <v/>
      </c>
      <c r="J196" s="185" t="str">
        <f t="shared" si="58"/>
        <v/>
      </c>
      <c r="K196" s="185"/>
      <c r="L196" s="185" t="str">
        <f t="shared" si="59"/>
        <v/>
      </c>
      <c r="M196" s="174" t="str">
        <f t="shared" si="54"/>
        <v/>
      </c>
      <c r="N196" s="174" t="str">
        <f t="shared" si="53"/>
        <v/>
      </c>
      <c r="O196" s="188"/>
      <c r="P196" s="181" t="str">
        <f>IF(A195=$D$8,XIRR(R$24:R195,C$24:C195),"")</f>
        <v/>
      </c>
      <c r="Q196" s="185" t="str">
        <f t="shared" si="52"/>
        <v/>
      </c>
      <c r="R196" s="177">
        <f t="shared" si="48"/>
        <v>0</v>
      </c>
      <c r="S196" s="178" t="e">
        <f t="shared" ca="1" si="49"/>
        <v>#VALUE!</v>
      </c>
      <c r="T196" s="178" t="e">
        <f t="shared" ca="1" si="50"/>
        <v>#VALUE!</v>
      </c>
      <c r="U196" s="178" t="e">
        <f t="shared" ca="1" si="60"/>
        <v>#VALUE!</v>
      </c>
      <c r="V196" s="183" t="e">
        <f t="shared" ca="1" si="61"/>
        <v>#VALUE!</v>
      </c>
      <c r="W196" s="184" t="e">
        <f t="shared" ca="1" si="45"/>
        <v>#VALUE!</v>
      </c>
    </row>
    <row r="197" spans="1:23" hidden="1" x14ac:dyDescent="0.25">
      <c r="A197" s="179" t="str">
        <f t="shared" si="51"/>
        <v/>
      </c>
      <c r="B197" s="173" t="e">
        <f t="shared" ca="1" si="46"/>
        <v>#VALUE!</v>
      </c>
      <c r="C197" s="173" t="e">
        <f t="shared" ca="1" si="47"/>
        <v>#VALUE!</v>
      </c>
      <c r="D197" s="179" t="str">
        <f t="shared" si="55"/>
        <v/>
      </c>
      <c r="E197" s="174" t="str">
        <f t="shared" si="56"/>
        <v/>
      </c>
      <c r="F197" s="174" t="str">
        <f>IF(AND(A196="",A198=""),"",IF(A197="",ROUND(SUM($F$25:F196),2),IF(A197=$D$8,$E$24-ROUND(SUM($F$25:F196),2),ROUND($E$24/$D$8,2))))</f>
        <v/>
      </c>
      <c r="G197" s="156" t="str">
        <f>IF(A196=$D$8,ROUND(SUM($G$25:G196),2),IF(A197&gt;$F$8,"",IF(T197&lt;&gt;T196,ROUND(SUM(V197*$F$9*E196/T197,W197*$F$9*E196/T196),2),ROUND(E196*$F$9*D197/T196,2))))</f>
        <v/>
      </c>
      <c r="H197" s="174" t="str">
        <f>IF(A196=$D$8,SUM($H$25:H196),IF(A196&gt;$D$8,"",F197+G197))</f>
        <v/>
      </c>
      <c r="I197" s="185" t="str">
        <f t="shared" si="57"/>
        <v/>
      </c>
      <c r="J197" s="185" t="str">
        <f t="shared" si="58"/>
        <v/>
      </c>
      <c r="K197" s="185"/>
      <c r="L197" s="185" t="str">
        <f t="shared" si="59"/>
        <v/>
      </c>
      <c r="M197" s="174" t="str">
        <f t="shared" si="54"/>
        <v/>
      </c>
      <c r="N197" s="174" t="str">
        <f t="shared" si="53"/>
        <v/>
      </c>
      <c r="O197" s="188"/>
      <c r="P197" s="181" t="str">
        <f>IF(A196=$D$8,XIRR(R$24:R196,C$24:C196),"")</f>
        <v/>
      </c>
      <c r="Q197" s="185" t="str">
        <f t="shared" si="52"/>
        <v/>
      </c>
      <c r="R197" s="177">
        <f t="shared" si="48"/>
        <v>0</v>
      </c>
      <c r="S197" s="178" t="e">
        <f t="shared" ca="1" si="49"/>
        <v>#VALUE!</v>
      </c>
      <c r="T197" s="178" t="e">
        <f t="shared" ca="1" si="50"/>
        <v>#VALUE!</v>
      </c>
      <c r="U197" s="178" t="e">
        <f t="shared" ca="1" si="60"/>
        <v>#VALUE!</v>
      </c>
      <c r="V197" s="183" t="e">
        <f t="shared" ca="1" si="61"/>
        <v>#VALUE!</v>
      </c>
      <c r="W197" s="184" t="e">
        <f t="shared" ca="1" si="45"/>
        <v>#VALUE!</v>
      </c>
    </row>
    <row r="198" spans="1:23" hidden="1" x14ac:dyDescent="0.25">
      <c r="A198" s="179" t="str">
        <f t="shared" si="51"/>
        <v/>
      </c>
      <c r="B198" s="173" t="e">
        <f t="shared" ca="1" si="46"/>
        <v>#VALUE!</v>
      </c>
      <c r="C198" s="173" t="e">
        <f t="shared" ca="1" si="47"/>
        <v>#VALUE!</v>
      </c>
      <c r="D198" s="179" t="str">
        <f t="shared" si="55"/>
        <v/>
      </c>
      <c r="E198" s="174" t="str">
        <f t="shared" si="56"/>
        <v/>
      </c>
      <c r="F198" s="174" t="str">
        <f>IF(AND(A197="",A199=""),"",IF(A198="",ROUND(SUM($F$25:F197),2),IF(A198=$D$8,$E$24-ROUND(SUM($F$25:F197),2),ROUND($E$24/$D$8,2))))</f>
        <v/>
      </c>
      <c r="G198" s="156" t="str">
        <f>IF(A197=$D$8,ROUND(SUM($G$25:G197),2),IF(A198&gt;$F$8,"",IF(T198&lt;&gt;T197,ROUND(SUM(V198*$F$9*E197/T198,W198*$F$9*E197/T197),2),ROUND(E197*$F$9*D198/T197,2))))</f>
        <v/>
      </c>
      <c r="H198" s="174" t="str">
        <f>IF(A197=$D$8,SUM($H$25:H197),IF(A197&gt;$D$8,"",F198+G198))</f>
        <v/>
      </c>
      <c r="I198" s="185" t="str">
        <f t="shared" si="57"/>
        <v/>
      </c>
      <c r="J198" s="185" t="str">
        <f t="shared" si="58"/>
        <v/>
      </c>
      <c r="K198" s="185"/>
      <c r="L198" s="185" t="str">
        <f t="shared" si="59"/>
        <v/>
      </c>
      <c r="M198" s="174" t="str">
        <f t="shared" si="54"/>
        <v/>
      </c>
      <c r="N198" s="174" t="str">
        <f t="shared" si="53"/>
        <v/>
      </c>
      <c r="O198" s="188"/>
      <c r="P198" s="181" t="str">
        <f>IF(A197=$D$8,XIRR(R$24:R197,C$24:C197),"")</f>
        <v/>
      </c>
      <c r="Q198" s="185" t="str">
        <f t="shared" si="52"/>
        <v/>
      </c>
      <c r="R198" s="177">
        <f t="shared" si="48"/>
        <v>0</v>
      </c>
      <c r="S198" s="178" t="e">
        <f t="shared" ca="1" si="49"/>
        <v>#VALUE!</v>
      </c>
      <c r="T198" s="178" t="e">
        <f t="shared" ca="1" si="50"/>
        <v>#VALUE!</v>
      </c>
      <c r="U198" s="178" t="e">
        <f t="shared" ca="1" si="60"/>
        <v>#VALUE!</v>
      </c>
      <c r="V198" s="183" t="e">
        <f t="shared" ca="1" si="61"/>
        <v>#VALUE!</v>
      </c>
      <c r="W198" s="184" t="e">
        <f t="shared" ca="1" si="45"/>
        <v>#VALUE!</v>
      </c>
    </row>
    <row r="199" spans="1:23" hidden="1" x14ac:dyDescent="0.25">
      <c r="A199" s="179" t="str">
        <f t="shared" si="51"/>
        <v/>
      </c>
      <c r="B199" s="173" t="e">
        <f t="shared" ca="1" si="46"/>
        <v>#VALUE!</v>
      </c>
      <c r="C199" s="173" t="e">
        <f t="shared" ca="1" si="47"/>
        <v>#VALUE!</v>
      </c>
      <c r="D199" s="179" t="str">
        <f t="shared" si="55"/>
        <v/>
      </c>
      <c r="E199" s="174" t="str">
        <f t="shared" si="56"/>
        <v/>
      </c>
      <c r="F199" s="174" t="str">
        <f>IF(AND(A198="",A200=""),"",IF(A199="",ROUND(SUM($F$25:F198),2),IF(A199=$D$8,$E$24-ROUND(SUM($F$25:F198),2),ROUND($E$24/$D$8,2))))</f>
        <v/>
      </c>
      <c r="G199" s="156" t="str">
        <f>IF(A198=$D$8,ROUND(SUM($G$25:G198),2),IF(A199&gt;$F$8,"",IF(T199&lt;&gt;T198,ROUND(SUM(V199*$F$9*E198/T199,W199*$F$9*E198/T198),2),ROUND(E198*$F$9*D199/T198,2))))</f>
        <v/>
      </c>
      <c r="H199" s="174" t="str">
        <f>IF(A198=$D$8,SUM($H$25:H198),IF(A198&gt;$D$8,"",F199+G199))</f>
        <v/>
      </c>
      <c r="I199" s="185" t="str">
        <f t="shared" si="57"/>
        <v/>
      </c>
      <c r="J199" s="185" t="str">
        <f t="shared" si="58"/>
        <v/>
      </c>
      <c r="K199" s="185"/>
      <c r="L199" s="185" t="str">
        <f t="shared" si="59"/>
        <v/>
      </c>
      <c r="M199" s="174" t="str">
        <f t="shared" si="54"/>
        <v/>
      </c>
      <c r="N199" s="174" t="str">
        <f t="shared" si="53"/>
        <v/>
      </c>
      <c r="O199" s="188"/>
      <c r="P199" s="181" t="str">
        <f>IF(A198=$D$8,XIRR(R$24:R198,C$24:C198),"")</f>
        <v/>
      </c>
      <c r="Q199" s="185" t="str">
        <f t="shared" si="52"/>
        <v/>
      </c>
      <c r="R199" s="177">
        <f t="shared" si="48"/>
        <v>0</v>
      </c>
      <c r="S199" s="178" t="e">
        <f t="shared" ca="1" si="49"/>
        <v>#VALUE!</v>
      </c>
      <c r="T199" s="178" t="e">
        <f t="shared" ca="1" si="50"/>
        <v>#VALUE!</v>
      </c>
      <c r="U199" s="178" t="e">
        <f t="shared" ca="1" si="60"/>
        <v>#VALUE!</v>
      </c>
      <c r="V199" s="183" t="e">
        <f t="shared" ca="1" si="61"/>
        <v>#VALUE!</v>
      </c>
      <c r="W199" s="184" t="e">
        <f t="shared" ca="1" si="45"/>
        <v>#VALUE!</v>
      </c>
    </row>
    <row r="200" spans="1:23" hidden="1" x14ac:dyDescent="0.25">
      <c r="A200" s="179" t="str">
        <f t="shared" si="51"/>
        <v/>
      </c>
      <c r="B200" s="173" t="e">
        <f t="shared" ca="1" si="46"/>
        <v>#VALUE!</v>
      </c>
      <c r="C200" s="173" t="e">
        <f t="shared" ca="1" si="47"/>
        <v>#VALUE!</v>
      </c>
      <c r="D200" s="179" t="str">
        <f t="shared" si="55"/>
        <v/>
      </c>
      <c r="E200" s="174" t="str">
        <f t="shared" si="56"/>
        <v/>
      </c>
      <c r="F200" s="174" t="str">
        <f>IF(AND(A199="",A201=""),"",IF(A200="",ROUND(SUM($F$25:F199),2),IF(A200=$D$8,$E$24-ROUND(SUM($F$25:F199),2),ROUND($E$24/$D$8,2))))</f>
        <v/>
      </c>
      <c r="G200" s="156" t="str">
        <f>IF(A199=$D$8,ROUND(SUM($G$25:G199),2),IF(A200&gt;$F$8,"",IF(T200&lt;&gt;T199,ROUND(SUM(V200*$F$9*E199/T200,W200*$F$9*E199/T199),2),ROUND(E199*$F$9*D200/T199,2))))</f>
        <v/>
      </c>
      <c r="H200" s="174" t="str">
        <f>IF(A199=$D$8,SUM($H$25:H199),IF(A199&gt;$D$8,"",F200+G200))</f>
        <v/>
      </c>
      <c r="I200" s="185" t="str">
        <f t="shared" si="57"/>
        <v/>
      </c>
      <c r="J200" s="185" t="str">
        <f t="shared" si="58"/>
        <v/>
      </c>
      <c r="K200" s="185"/>
      <c r="L200" s="185" t="str">
        <f t="shared" si="59"/>
        <v/>
      </c>
      <c r="M200" s="174" t="str">
        <f t="shared" si="54"/>
        <v/>
      </c>
      <c r="N200" s="174" t="str">
        <f t="shared" si="53"/>
        <v/>
      </c>
      <c r="O200" s="188"/>
      <c r="P200" s="181" t="str">
        <f>IF(A199=$D$8,XIRR(R$24:R199,C$24:C199),"")</f>
        <v/>
      </c>
      <c r="Q200" s="185" t="str">
        <f t="shared" si="52"/>
        <v/>
      </c>
      <c r="R200" s="177">
        <f t="shared" si="48"/>
        <v>0</v>
      </c>
      <c r="S200" s="178" t="e">
        <f t="shared" ca="1" si="49"/>
        <v>#VALUE!</v>
      </c>
      <c r="T200" s="178" t="e">
        <f t="shared" ca="1" si="50"/>
        <v>#VALUE!</v>
      </c>
      <c r="U200" s="178" t="e">
        <f t="shared" ca="1" si="60"/>
        <v>#VALUE!</v>
      </c>
      <c r="V200" s="183" t="e">
        <f t="shared" ca="1" si="61"/>
        <v>#VALUE!</v>
      </c>
      <c r="W200" s="184" t="e">
        <f t="shared" ca="1" si="45"/>
        <v>#VALUE!</v>
      </c>
    </row>
    <row r="201" spans="1:23" hidden="1" x14ac:dyDescent="0.25">
      <c r="A201" s="179" t="str">
        <f t="shared" si="51"/>
        <v/>
      </c>
      <c r="B201" s="173" t="e">
        <f t="shared" ca="1" si="46"/>
        <v>#VALUE!</v>
      </c>
      <c r="C201" s="173" t="e">
        <f t="shared" ca="1" si="47"/>
        <v>#VALUE!</v>
      </c>
      <c r="D201" s="179" t="str">
        <f t="shared" si="55"/>
        <v/>
      </c>
      <c r="E201" s="174" t="str">
        <f t="shared" si="56"/>
        <v/>
      </c>
      <c r="F201" s="174" t="str">
        <f>IF(AND(A200="",A202=""),"",IF(A201="",ROUND(SUM($F$25:F200),2),IF(A201=$D$8,$E$24-ROUND(SUM($F$25:F200),2),ROUND($E$24/$D$8,2))))</f>
        <v/>
      </c>
      <c r="G201" s="156" t="str">
        <f>IF(A200=$D$8,ROUND(SUM($G$25:G200),2),IF(A201&gt;$F$8,"",IF(T201&lt;&gt;T200,ROUND(SUM(V201*$F$9*E200/T201,W201*$F$9*E200/T200),2),ROUND(E200*$F$9*D201/T200,2))))</f>
        <v/>
      </c>
      <c r="H201" s="174" t="str">
        <f>IF(A200=$D$8,SUM($H$25:H200),IF(A200&gt;$D$8,"",F201+G201))</f>
        <v/>
      </c>
      <c r="I201" s="185" t="str">
        <f t="shared" si="57"/>
        <v/>
      </c>
      <c r="J201" s="185" t="str">
        <f t="shared" si="58"/>
        <v/>
      </c>
      <c r="K201" s="185"/>
      <c r="L201" s="185" t="str">
        <f t="shared" si="59"/>
        <v/>
      </c>
      <c r="M201" s="174" t="str">
        <f t="shared" si="54"/>
        <v/>
      </c>
      <c r="N201" s="174" t="str">
        <f t="shared" si="53"/>
        <v/>
      </c>
      <c r="O201" s="188"/>
      <c r="P201" s="181" t="str">
        <f>IF(A200=$D$8,XIRR(R$24:R200,C$24:C200),"")</f>
        <v/>
      </c>
      <c r="Q201" s="185" t="str">
        <f t="shared" si="52"/>
        <v/>
      </c>
      <c r="R201" s="177">
        <f t="shared" si="48"/>
        <v>0</v>
      </c>
      <c r="S201" s="178" t="e">
        <f t="shared" ca="1" si="49"/>
        <v>#VALUE!</v>
      </c>
      <c r="T201" s="178" t="e">
        <f t="shared" ca="1" si="50"/>
        <v>#VALUE!</v>
      </c>
      <c r="U201" s="178" t="e">
        <f t="shared" ca="1" si="60"/>
        <v>#VALUE!</v>
      </c>
      <c r="V201" s="183" t="e">
        <f t="shared" ca="1" si="61"/>
        <v>#VALUE!</v>
      </c>
      <c r="W201" s="184" t="e">
        <f t="shared" ca="1" si="45"/>
        <v>#VALUE!</v>
      </c>
    </row>
    <row r="202" spans="1:23" hidden="1" x14ac:dyDescent="0.25">
      <c r="A202" s="179" t="str">
        <f t="shared" si="51"/>
        <v/>
      </c>
      <c r="B202" s="173" t="e">
        <f t="shared" ca="1" si="46"/>
        <v>#VALUE!</v>
      </c>
      <c r="C202" s="173" t="e">
        <f t="shared" ca="1" si="47"/>
        <v>#VALUE!</v>
      </c>
      <c r="D202" s="179" t="str">
        <f t="shared" si="55"/>
        <v/>
      </c>
      <c r="E202" s="174" t="str">
        <f t="shared" si="56"/>
        <v/>
      </c>
      <c r="F202" s="174" t="str">
        <f>IF(AND(A201="",A203=""),"",IF(A202="",ROUND(SUM($F$25:F201),2),IF(A202=$D$8,$E$24-ROUND(SUM($F$25:F201),2),ROUND($E$24/$D$8,2))))</f>
        <v/>
      </c>
      <c r="G202" s="156" t="str">
        <f>IF(A201=$D$8,ROUND(SUM($G$25:G201),2),IF(A202&gt;$F$8,"",IF(T202&lt;&gt;T201,ROUND(SUM(V202*$F$9*E201/T202,W202*$F$9*E201/T201),2),ROUND(E201*$F$9*D202/T201,2))))</f>
        <v/>
      </c>
      <c r="H202" s="174" t="str">
        <f>IF(A201=$D$8,SUM($H$25:H201),IF(A201&gt;$D$8,"",F202+G202))</f>
        <v/>
      </c>
      <c r="I202" s="185" t="str">
        <f t="shared" si="57"/>
        <v/>
      </c>
      <c r="J202" s="185" t="str">
        <f t="shared" si="58"/>
        <v/>
      </c>
      <c r="K202" s="185"/>
      <c r="L202" s="185" t="str">
        <f t="shared" si="59"/>
        <v/>
      </c>
      <c r="M202" s="174" t="str">
        <f t="shared" si="54"/>
        <v/>
      </c>
      <c r="N202" s="174" t="str">
        <f t="shared" si="53"/>
        <v/>
      </c>
      <c r="O202" s="188"/>
      <c r="P202" s="181" t="str">
        <f>IF(A201=$D$8,XIRR(R$24:R201,C$24:C201),"")</f>
        <v/>
      </c>
      <c r="Q202" s="185" t="str">
        <f t="shared" si="52"/>
        <v/>
      </c>
      <c r="R202" s="177">
        <f t="shared" si="48"/>
        <v>0</v>
      </c>
      <c r="S202" s="178" t="e">
        <f t="shared" ca="1" si="49"/>
        <v>#VALUE!</v>
      </c>
      <c r="T202" s="178" t="e">
        <f t="shared" ca="1" si="50"/>
        <v>#VALUE!</v>
      </c>
      <c r="U202" s="178" t="e">
        <f t="shared" ca="1" si="60"/>
        <v>#VALUE!</v>
      </c>
      <c r="V202" s="183" t="e">
        <f t="shared" ca="1" si="61"/>
        <v>#VALUE!</v>
      </c>
      <c r="W202" s="184" t="e">
        <f t="shared" ca="1" si="45"/>
        <v>#VALUE!</v>
      </c>
    </row>
    <row r="203" spans="1:23" hidden="1" x14ac:dyDescent="0.25">
      <c r="A203" s="179" t="str">
        <f t="shared" si="51"/>
        <v/>
      </c>
      <c r="B203" s="173" t="e">
        <f t="shared" ca="1" si="46"/>
        <v>#VALUE!</v>
      </c>
      <c r="C203" s="173" t="e">
        <f t="shared" ca="1" si="47"/>
        <v>#VALUE!</v>
      </c>
      <c r="D203" s="179" t="str">
        <f t="shared" si="55"/>
        <v/>
      </c>
      <c r="E203" s="174" t="str">
        <f t="shared" si="56"/>
        <v/>
      </c>
      <c r="F203" s="174" t="str">
        <f>IF(AND(A202="",A204=""),"",IF(A203="",ROUND(SUM($F$25:F202),2),IF(A203=$D$8,$E$24-ROUND(SUM($F$25:F202),2),ROUND($E$24/$D$8,2))))</f>
        <v/>
      </c>
      <c r="G203" s="156" t="str">
        <f>IF(A202=$D$8,ROUND(SUM($G$25:G202),2),IF(A203&gt;$F$8,"",IF(T203&lt;&gt;T202,ROUND(SUM(V203*$F$9*E202/T203,W203*$F$9*E202/T202),2),ROUND(E202*$F$9*D203/T202,2))))</f>
        <v/>
      </c>
      <c r="H203" s="174" t="str">
        <f>IF(A202=$D$8,SUM($H$25:H202),IF(A202&gt;$D$8,"",F203+G203))</f>
        <v/>
      </c>
      <c r="I203" s="185" t="str">
        <f t="shared" si="57"/>
        <v/>
      </c>
      <c r="J203" s="185" t="str">
        <f t="shared" si="58"/>
        <v/>
      </c>
      <c r="K203" s="185"/>
      <c r="L203" s="185" t="str">
        <f t="shared" si="59"/>
        <v/>
      </c>
      <c r="M203" s="174" t="str">
        <f t="shared" si="54"/>
        <v/>
      </c>
      <c r="N203" s="174" t="str">
        <f t="shared" si="53"/>
        <v/>
      </c>
      <c r="O203" s="188"/>
      <c r="P203" s="181" t="str">
        <f>IF(A202=$D$8,XIRR(R$24:R202,C$24:C202),"")</f>
        <v/>
      </c>
      <c r="Q203" s="185" t="str">
        <f t="shared" si="52"/>
        <v/>
      </c>
      <c r="R203" s="177">
        <f t="shared" si="48"/>
        <v>0</v>
      </c>
      <c r="S203" s="178" t="e">
        <f t="shared" ca="1" si="49"/>
        <v>#VALUE!</v>
      </c>
      <c r="T203" s="178" t="e">
        <f t="shared" ca="1" si="50"/>
        <v>#VALUE!</v>
      </c>
      <c r="U203" s="178" t="e">
        <f t="shared" ca="1" si="60"/>
        <v>#VALUE!</v>
      </c>
      <c r="V203" s="183" t="e">
        <f t="shared" ca="1" si="61"/>
        <v>#VALUE!</v>
      </c>
      <c r="W203" s="184" t="e">
        <f t="shared" ca="1" si="45"/>
        <v>#VALUE!</v>
      </c>
    </row>
    <row r="204" spans="1:23" hidden="1" x14ac:dyDescent="0.25">
      <c r="A204" s="179" t="str">
        <f t="shared" si="51"/>
        <v/>
      </c>
      <c r="B204" s="173" t="e">
        <f t="shared" ca="1" si="46"/>
        <v>#VALUE!</v>
      </c>
      <c r="C204" s="173" t="e">
        <f t="shared" ca="1" si="47"/>
        <v>#VALUE!</v>
      </c>
      <c r="D204" s="179" t="str">
        <f t="shared" si="55"/>
        <v/>
      </c>
      <c r="E204" s="174" t="str">
        <f t="shared" si="56"/>
        <v/>
      </c>
      <c r="F204" s="174" t="str">
        <f>IF(AND(A203="",A205=""),"",IF(A204="",ROUND(SUM($F$25:F203),2),IF(A204=$D$8,$E$24-ROUND(SUM($F$25:F203),2),ROUND($E$24/$D$8,2))))</f>
        <v/>
      </c>
      <c r="G204" s="156" t="str">
        <f>IF(A203=$D$8,ROUND(SUM($G$25:G203),2),IF(A204&gt;$F$8,"",IF(T204&lt;&gt;T203,ROUND(SUM(V204*$F$9*E203/T204,W204*$F$9*E203/T203),2),ROUND(E203*$F$9*D204/T203,2))))</f>
        <v/>
      </c>
      <c r="H204" s="174" t="str">
        <f>IF(A203=$D$8,SUM($H$25:H203),IF(A203&gt;$D$8,"",F204+G204))</f>
        <v/>
      </c>
      <c r="I204" s="185" t="str">
        <f t="shared" si="57"/>
        <v/>
      </c>
      <c r="J204" s="185" t="str">
        <f t="shared" si="58"/>
        <v/>
      </c>
      <c r="K204" s="185"/>
      <c r="L204" s="185" t="str">
        <f t="shared" si="59"/>
        <v/>
      </c>
      <c r="M204" s="174" t="str">
        <f t="shared" si="54"/>
        <v/>
      </c>
      <c r="N204" s="174" t="str">
        <f t="shared" si="53"/>
        <v/>
      </c>
      <c r="O204" s="188"/>
      <c r="P204" s="181" t="str">
        <f>IF(A203=$D$8,XIRR(R$24:R203,C$24:C203),"")</f>
        <v/>
      </c>
      <c r="Q204" s="185" t="str">
        <f t="shared" si="52"/>
        <v/>
      </c>
      <c r="R204" s="177">
        <f t="shared" si="48"/>
        <v>0</v>
      </c>
      <c r="S204" s="178" t="e">
        <f t="shared" ca="1" si="49"/>
        <v>#VALUE!</v>
      </c>
      <c r="T204" s="178" t="e">
        <f t="shared" ca="1" si="50"/>
        <v>#VALUE!</v>
      </c>
      <c r="U204" s="178" t="e">
        <f t="shared" ca="1" si="60"/>
        <v>#VALUE!</v>
      </c>
      <c r="V204" s="183" t="e">
        <f t="shared" ca="1" si="61"/>
        <v>#VALUE!</v>
      </c>
      <c r="W204" s="184" t="e">
        <f t="shared" ca="1" si="45"/>
        <v>#VALUE!</v>
      </c>
    </row>
    <row r="205" spans="1:23" hidden="1" x14ac:dyDescent="0.25">
      <c r="A205" s="179" t="str">
        <f t="shared" si="51"/>
        <v/>
      </c>
      <c r="B205" s="173" t="e">
        <f t="shared" ca="1" si="46"/>
        <v>#VALUE!</v>
      </c>
      <c r="C205" s="173" t="e">
        <f t="shared" ca="1" si="47"/>
        <v>#VALUE!</v>
      </c>
      <c r="D205" s="179" t="str">
        <f t="shared" si="55"/>
        <v/>
      </c>
      <c r="E205" s="174" t="str">
        <f t="shared" si="56"/>
        <v/>
      </c>
      <c r="F205" s="174" t="str">
        <f>IF(AND(A204="",A206=""),"",IF(A205="",ROUND(SUM($F$25:F204),2),IF(A205=$D$8,$E$24-ROUND(SUM($F$25:F204),2),ROUND($E$24/$D$8,2))))</f>
        <v/>
      </c>
      <c r="G205" s="156" t="str">
        <f>IF(A204=$D$8,ROUND(SUM($G$25:G204),2),IF(A205&gt;$F$8,"",IF(T205&lt;&gt;T204,ROUND(SUM(V205*$F$9*E204/T205,W205*$F$9*E204/T204),2),ROUND(E204*$F$9*D205/T204,2))))</f>
        <v/>
      </c>
      <c r="H205" s="174" t="str">
        <f>IF(A204=$D$8,SUM($H$25:H204),IF(A204&gt;$D$8,"",F205+G205))</f>
        <v/>
      </c>
      <c r="I205" s="185" t="str">
        <f t="shared" si="57"/>
        <v/>
      </c>
      <c r="J205" s="185" t="str">
        <f t="shared" si="58"/>
        <v/>
      </c>
      <c r="K205" s="185" t="str">
        <f>IF($F$8&gt;180,($O$8+$O$10),IF($A$204=$F$8,$K$24*$G$8,""))</f>
        <v/>
      </c>
      <c r="L205" s="185" t="str">
        <f t="shared" si="59"/>
        <v/>
      </c>
      <c r="M205" s="174" t="str">
        <f t="shared" si="54"/>
        <v/>
      </c>
      <c r="N205" s="185" t="str">
        <f>IF($F$8&gt;180,($N$14),IF(A204=$F$8,N193+N181+N169+N157+N145+N133+N121+N109+N97+N85+N73+N61+N49+N37+N24,""))</f>
        <v/>
      </c>
      <c r="O205" s="188"/>
      <c r="P205" s="181" t="str">
        <f>IF(A204=$D$8,XIRR(R$24:R204,C$24:C204),"")</f>
        <v/>
      </c>
      <c r="Q205" s="185" t="str">
        <f t="shared" si="52"/>
        <v/>
      </c>
      <c r="R205" s="177">
        <f t="shared" si="48"/>
        <v>0</v>
      </c>
      <c r="S205" s="178" t="e">
        <f t="shared" ca="1" si="49"/>
        <v>#VALUE!</v>
      </c>
      <c r="T205" s="178" t="e">
        <f t="shared" ca="1" si="50"/>
        <v>#VALUE!</v>
      </c>
      <c r="U205" s="178" t="e">
        <f t="shared" ca="1" si="60"/>
        <v>#VALUE!</v>
      </c>
      <c r="V205" s="183" t="e">
        <f t="shared" ca="1" si="61"/>
        <v>#VALUE!</v>
      </c>
      <c r="W205" s="184" t="e">
        <f t="shared" ca="1" si="45"/>
        <v>#VALUE!</v>
      </c>
    </row>
    <row r="206" spans="1:23" hidden="1" x14ac:dyDescent="0.25">
      <c r="A206" s="179" t="str">
        <f t="shared" si="51"/>
        <v/>
      </c>
      <c r="B206" s="173" t="e">
        <f t="shared" ca="1" si="46"/>
        <v>#VALUE!</v>
      </c>
      <c r="C206" s="173" t="e">
        <f t="shared" ca="1" si="47"/>
        <v>#VALUE!</v>
      </c>
      <c r="D206" s="179" t="str">
        <f t="shared" si="55"/>
        <v/>
      </c>
      <c r="E206" s="174" t="str">
        <f t="shared" si="56"/>
        <v/>
      </c>
      <c r="F206" s="174" t="str">
        <f>IF(AND(A205="",A207=""),"",IF(A206="",ROUND(SUM($F$25:F205),2),IF(A206=$D$8,$E$24-ROUND(SUM($F$25:F205),2),ROUND($E$24/$D$8,2))))</f>
        <v/>
      </c>
      <c r="G206" s="156" t="str">
        <f>IF(A205=$D$8,ROUND(SUM($G$25:G205),2),IF(A206&gt;$F$8,"",IF(T206&lt;&gt;T205,ROUND(SUM(V206*$F$9*E205/T206,W206*$F$9*E205/T205),2),ROUND(E205*$F$9*D206/T205,2))))</f>
        <v/>
      </c>
      <c r="H206" s="174" t="str">
        <f>IF(A205=$D$8,SUM($H$25:H205),IF(A205&gt;$D$8,"",F206+G206))</f>
        <v/>
      </c>
      <c r="I206" s="185" t="str">
        <f t="shared" si="57"/>
        <v/>
      </c>
      <c r="J206" s="185" t="str">
        <f t="shared" si="58"/>
        <v/>
      </c>
      <c r="K206" s="185"/>
      <c r="L206" s="185" t="str">
        <f t="shared" si="59"/>
        <v/>
      </c>
      <c r="M206" s="174" t="str">
        <f t="shared" si="54"/>
        <v/>
      </c>
      <c r="N206" s="174" t="str">
        <f t="shared" si="53"/>
        <v/>
      </c>
      <c r="O206" s="188"/>
      <c r="P206" s="181" t="str">
        <f>IF(A205=$D$8,XIRR(R$24:R205,C$24:C205),"")</f>
        <v/>
      </c>
      <c r="Q206" s="185" t="str">
        <f t="shared" si="52"/>
        <v/>
      </c>
      <c r="R206" s="177">
        <f t="shared" si="48"/>
        <v>0</v>
      </c>
      <c r="S206" s="178" t="e">
        <f t="shared" ca="1" si="49"/>
        <v>#VALUE!</v>
      </c>
      <c r="T206" s="178" t="e">
        <f t="shared" ca="1" si="50"/>
        <v>#VALUE!</v>
      </c>
      <c r="U206" s="178" t="e">
        <f t="shared" ca="1" si="60"/>
        <v>#VALUE!</v>
      </c>
      <c r="V206" s="183" t="e">
        <f t="shared" ca="1" si="61"/>
        <v>#VALUE!</v>
      </c>
      <c r="W206" s="184" t="e">
        <f t="shared" ca="1" si="45"/>
        <v>#VALUE!</v>
      </c>
    </row>
    <row r="207" spans="1:23" hidden="1" x14ac:dyDescent="0.25">
      <c r="A207" s="179" t="str">
        <f t="shared" si="51"/>
        <v/>
      </c>
      <c r="B207" s="173" t="e">
        <f t="shared" ca="1" si="46"/>
        <v>#VALUE!</v>
      </c>
      <c r="C207" s="173" t="e">
        <f t="shared" ca="1" si="47"/>
        <v>#VALUE!</v>
      </c>
      <c r="D207" s="179" t="str">
        <f t="shared" si="55"/>
        <v/>
      </c>
      <c r="E207" s="174" t="str">
        <f t="shared" si="56"/>
        <v/>
      </c>
      <c r="F207" s="174" t="str">
        <f>IF(AND(A206="",A208=""),"",IF(A207="",ROUND(SUM($F$25:F206),2),IF(A207=$D$8,$E$24-ROUND(SUM($F$25:F206),2),ROUND($E$24/$D$8,2))))</f>
        <v/>
      </c>
      <c r="G207" s="156" t="str">
        <f>IF(A206=$D$8,ROUND(SUM($G$25:G206),2),IF(A207&gt;$F$8,"",IF(T207&lt;&gt;T206,ROUND(SUM(V207*$F$9*E206/T207,W207*$F$9*E206/T206),2),ROUND(E206*$F$9*D207/T206,2))))</f>
        <v/>
      </c>
      <c r="H207" s="174" t="str">
        <f>IF(A206=$D$8,SUM($H$25:H206),IF(A206&gt;$D$8,"",F207+G207))</f>
        <v/>
      </c>
      <c r="I207" s="185" t="str">
        <f t="shared" si="57"/>
        <v/>
      </c>
      <c r="J207" s="185" t="str">
        <f t="shared" si="58"/>
        <v/>
      </c>
      <c r="K207" s="185"/>
      <c r="L207" s="185" t="str">
        <f t="shared" si="59"/>
        <v/>
      </c>
      <c r="M207" s="174" t="str">
        <f t="shared" si="54"/>
        <v/>
      </c>
      <c r="N207" s="174" t="str">
        <f t="shared" si="53"/>
        <v/>
      </c>
      <c r="O207" s="188"/>
      <c r="P207" s="181" t="str">
        <f>IF(A206=$D$8,XIRR(R$24:R206,C$24:C206),"")</f>
        <v/>
      </c>
      <c r="Q207" s="185" t="str">
        <f t="shared" si="52"/>
        <v/>
      </c>
      <c r="R207" s="177">
        <f t="shared" si="48"/>
        <v>0</v>
      </c>
      <c r="S207" s="178" t="e">
        <f t="shared" ca="1" si="49"/>
        <v>#VALUE!</v>
      </c>
      <c r="T207" s="178" t="e">
        <f t="shared" ca="1" si="50"/>
        <v>#VALUE!</v>
      </c>
      <c r="U207" s="178" t="e">
        <f t="shared" ca="1" si="60"/>
        <v>#VALUE!</v>
      </c>
      <c r="V207" s="183" t="e">
        <f t="shared" ca="1" si="61"/>
        <v>#VALUE!</v>
      </c>
      <c r="W207" s="184" t="e">
        <f t="shared" ca="1" si="45"/>
        <v>#VALUE!</v>
      </c>
    </row>
    <row r="208" spans="1:23" hidden="1" x14ac:dyDescent="0.25">
      <c r="A208" s="179" t="str">
        <f t="shared" si="51"/>
        <v/>
      </c>
      <c r="B208" s="173" t="e">
        <f t="shared" ca="1" si="46"/>
        <v>#VALUE!</v>
      </c>
      <c r="C208" s="173" t="e">
        <f t="shared" ca="1" si="47"/>
        <v>#VALUE!</v>
      </c>
      <c r="D208" s="179" t="str">
        <f t="shared" si="55"/>
        <v/>
      </c>
      <c r="E208" s="174" t="str">
        <f t="shared" si="56"/>
        <v/>
      </c>
      <c r="F208" s="174" t="str">
        <f>IF(AND(A207="",A209=""),"",IF(A208="",ROUND(SUM($F$25:F207),2),IF(A208=$D$8,$E$24-ROUND(SUM($F$25:F207),2),ROUND($E$24/$D$8,2))))</f>
        <v/>
      </c>
      <c r="G208" s="156" t="str">
        <f>IF(A207=$D$8,ROUND(SUM($G$25:G207),2),IF(A208&gt;$F$8,"",IF(T208&lt;&gt;T207,ROUND(SUM(V208*$F$9*E207/T208,W208*$F$9*E207/T207),2),ROUND(E207*$F$9*D208/T207,2))))</f>
        <v/>
      </c>
      <c r="H208" s="174" t="str">
        <f>IF(A207=$D$8,SUM($H$25:H207),IF(A207&gt;$D$8,"",F208+G208))</f>
        <v/>
      </c>
      <c r="I208" s="185" t="str">
        <f t="shared" si="57"/>
        <v/>
      </c>
      <c r="J208" s="185" t="str">
        <f t="shared" si="58"/>
        <v/>
      </c>
      <c r="K208" s="185"/>
      <c r="L208" s="185" t="str">
        <f t="shared" si="59"/>
        <v/>
      </c>
      <c r="M208" s="174" t="str">
        <f t="shared" si="54"/>
        <v/>
      </c>
      <c r="N208" s="174" t="str">
        <f t="shared" si="53"/>
        <v/>
      </c>
      <c r="O208" s="188"/>
      <c r="P208" s="181" t="str">
        <f>IF(A207=$D$8,XIRR(R$24:R207,C$24:C207),"")</f>
        <v/>
      </c>
      <c r="Q208" s="185" t="str">
        <f t="shared" si="52"/>
        <v/>
      </c>
      <c r="R208" s="177">
        <f t="shared" si="48"/>
        <v>0</v>
      </c>
      <c r="S208" s="178" t="e">
        <f t="shared" ca="1" si="49"/>
        <v>#VALUE!</v>
      </c>
      <c r="T208" s="178" t="e">
        <f t="shared" ca="1" si="50"/>
        <v>#VALUE!</v>
      </c>
      <c r="U208" s="178" t="e">
        <f t="shared" ca="1" si="60"/>
        <v>#VALUE!</v>
      </c>
      <c r="V208" s="183" t="e">
        <f t="shared" ca="1" si="61"/>
        <v>#VALUE!</v>
      </c>
      <c r="W208" s="184" t="e">
        <f t="shared" ca="1" si="45"/>
        <v>#VALUE!</v>
      </c>
    </row>
    <row r="209" spans="1:23" hidden="1" x14ac:dyDescent="0.25">
      <c r="A209" s="179" t="str">
        <f t="shared" si="51"/>
        <v/>
      </c>
      <c r="B209" s="173" t="e">
        <f t="shared" ca="1" si="46"/>
        <v>#VALUE!</v>
      </c>
      <c r="C209" s="173" t="e">
        <f t="shared" ca="1" si="47"/>
        <v>#VALUE!</v>
      </c>
      <c r="D209" s="179" t="str">
        <f t="shared" si="55"/>
        <v/>
      </c>
      <c r="E209" s="174" t="str">
        <f t="shared" si="56"/>
        <v/>
      </c>
      <c r="F209" s="174" t="str">
        <f>IF(AND(A208="",A210=""),"",IF(A209="",ROUND(SUM($F$25:F208),2),IF(A209=$D$8,$E$24-ROUND(SUM($F$25:F208),2),ROUND($E$24/$D$8,2))))</f>
        <v/>
      </c>
      <c r="G209" s="156" t="str">
        <f>IF(A208=$D$8,ROUND(SUM($G$25:G208),2),IF(A209&gt;$F$8,"",IF(T209&lt;&gt;T208,ROUND(SUM(V209*$F$9*E208/T209,W209*$F$9*E208/T208),2),ROUND(E208*$F$9*D209/T208,2))))</f>
        <v/>
      </c>
      <c r="H209" s="174" t="str">
        <f>IF(A208=$D$8,SUM($H$25:H208),IF(A208&gt;$D$8,"",F209+G209))</f>
        <v/>
      </c>
      <c r="I209" s="185" t="str">
        <f t="shared" si="57"/>
        <v/>
      </c>
      <c r="J209" s="185" t="str">
        <f t="shared" si="58"/>
        <v/>
      </c>
      <c r="K209" s="185"/>
      <c r="L209" s="185" t="str">
        <f t="shared" si="59"/>
        <v/>
      </c>
      <c r="M209" s="174" t="str">
        <f t="shared" si="54"/>
        <v/>
      </c>
      <c r="N209" s="174" t="str">
        <f t="shared" si="53"/>
        <v/>
      </c>
      <c r="O209" s="188"/>
      <c r="P209" s="181" t="str">
        <f>IF(A208=$D$8,XIRR(R$24:R208,C$24:C208),"")</f>
        <v/>
      </c>
      <c r="Q209" s="185" t="str">
        <f t="shared" si="52"/>
        <v/>
      </c>
      <c r="R209" s="177">
        <f t="shared" si="48"/>
        <v>0</v>
      </c>
      <c r="S209" s="178" t="e">
        <f t="shared" ca="1" si="49"/>
        <v>#VALUE!</v>
      </c>
      <c r="T209" s="178" t="e">
        <f t="shared" ca="1" si="50"/>
        <v>#VALUE!</v>
      </c>
      <c r="U209" s="178" t="e">
        <f t="shared" ca="1" si="60"/>
        <v>#VALUE!</v>
      </c>
      <c r="V209" s="183" t="e">
        <f t="shared" ca="1" si="61"/>
        <v>#VALUE!</v>
      </c>
      <c r="W209" s="184" t="e">
        <f t="shared" ca="1" si="45"/>
        <v>#VALUE!</v>
      </c>
    </row>
    <row r="210" spans="1:23" hidden="1" x14ac:dyDescent="0.25">
      <c r="A210" s="179" t="str">
        <f t="shared" si="51"/>
        <v/>
      </c>
      <c r="B210" s="173" t="e">
        <f t="shared" ca="1" si="46"/>
        <v>#VALUE!</v>
      </c>
      <c r="C210" s="173" t="e">
        <f t="shared" ca="1" si="47"/>
        <v>#VALUE!</v>
      </c>
      <c r="D210" s="179" t="str">
        <f t="shared" si="55"/>
        <v/>
      </c>
      <c r="E210" s="174" t="str">
        <f t="shared" si="56"/>
        <v/>
      </c>
      <c r="F210" s="174" t="str">
        <f>IF(AND(A209="",A211=""),"",IF(A210="",ROUND(SUM($F$25:F209),2),IF(A210=$D$8,$E$24-ROUND(SUM($F$25:F209),2),ROUND($E$24/$D$8,2))))</f>
        <v/>
      </c>
      <c r="G210" s="156" t="str">
        <f>IF(A209=$D$8,ROUND(SUM($G$25:G209),2),IF(A210&gt;$F$8,"",IF(T210&lt;&gt;T209,ROUND(SUM(V210*$F$9*E209/T210,W210*$F$9*E209/T209),2),ROUND(E209*$F$9*D210/T209,2))))</f>
        <v/>
      </c>
      <c r="H210" s="174" t="str">
        <f>IF(A209=$D$8,SUM($H$25:H209),IF(A209&gt;$D$8,"",F210+G210))</f>
        <v/>
      </c>
      <c r="I210" s="185" t="str">
        <f t="shared" si="57"/>
        <v/>
      </c>
      <c r="J210" s="185" t="str">
        <f t="shared" si="58"/>
        <v/>
      </c>
      <c r="K210" s="185"/>
      <c r="L210" s="185" t="str">
        <f t="shared" si="59"/>
        <v/>
      </c>
      <c r="M210" s="174" t="str">
        <f t="shared" si="54"/>
        <v/>
      </c>
      <c r="N210" s="174" t="str">
        <f t="shared" si="53"/>
        <v/>
      </c>
      <c r="O210" s="188"/>
      <c r="P210" s="181" t="str">
        <f>IF(A209=$D$8,XIRR(R$24:R209,C$24:C209),"")</f>
        <v/>
      </c>
      <c r="Q210" s="185" t="str">
        <f t="shared" si="52"/>
        <v/>
      </c>
      <c r="R210" s="177">
        <f t="shared" si="48"/>
        <v>0</v>
      </c>
      <c r="S210" s="178" t="e">
        <f t="shared" ca="1" si="49"/>
        <v>#VALUE!</v>
      </c>
      <c r="T210" s="178" t="e">
        <f t="shared" ca="1" si="50"/>
        <v>#VALUE!</v>
      </c>
      <c r="U210" s="178" t="e">
        <f t="shared" ca="1" si="60"/>
        <v>#VALUE!</v>
      </c>
      <c r="V210" s="183" t="e">
        <f t="shared" ca="1" si="61"/>
        <v>#VALUE!</v>
      </c>
      <c r="W210" s="184" t="e">
        <f t="shared" ca="1" si="45"/>
        <v>#VALUE!</v>
      </c>
    </row>
    <row r="211" spans="1:23" hidden="1" x14ac:dyDescent="0.25">
      <c r="A211" s="179" t="str">
        <f t="shared" si="51"/>
        <v/>
      </c>
      <c r="B211" s="173" t="e">
        <f t="shared" ca="1" si="46"/>
        <v>#VALUE!</v>
      </c>
      <c r="C211" s="173" t="e">
        <f t="shared" ca="1" si="47"/>
        <v>#VALUE!</v>
      </c>
      <c r="D211" s="179" t="str">
        <f t="shared" si="55"/>
        <v/>
      </c>
      <c r="E211" s="174" t="str">
        <f t="shared" si="56"/>
        <v/>
      </c>
      <c r="F211" s="174" t="str">
        <f>IF(AND(A210="",A212=""),"",IF(A211="",ROUND(SUM($F$25:F210),2),IF(A211=$D$8,$E$24-ROUND(SUM($F$25:F210),2),ROUND($E$24/$D$8,2))))</f>
        <v/>
      </c>
      <c r="G211" s="156" t="str">
        <f>IF(A210=$D$8,ROUND(SUM($G$25:G210),2),IF(A211&gt;$F$8,"",IF(T211&lt;&gt;T210,ROUND(SUM(V211*$F$9*E210/T211,W211*$F$9*E210/T210),2),ROUND(E210*$F$9*D211/T210,2))))</f>
        <v/>
      </c>
      <c r="H211" s="174" t="str">
        <f>IF(A210=$D$8,SUM($H$25:H210),IF(A210&gt;$D$8,"",F211+G211))</f>
        <v/>
      </c>
      <c r="I211" s="185" t="str">
        <f t="shared" si="57"/>
        <v/>
      </c>
      <c r="J211" s="185" t="str">
        <f t="shared" si="58"/>
        <v/>
      </c>
      <c r="K211" s="185"/>
      <c r="L211" s="185" t="str">
        <f t="shared" si="59"/>
        <v/>
      </c>
      <c r="M211" s="174" t="str">
        <f t="shared" si="54"/>
        <v/>
      </c>
      <c r="N211" s="174" t="str">
        <f t="shared" si="53"/>
        <v/>
      </c>
      <c r="O211" s="188"/>
      <c r="P211" s="181" t="str">
        <f>IF(A210=$D$8,XIRR(R$24:R210,C$24:C210),"")</f>
        <v/>
      </c>
      <c r="Q211" s="185" t="str">
        <f t="shared" si="52"/>
        <v/>
      </c>
      <c r="R211" s="177">
        <f t="shared" si="48"/>
        <v>0</v>
      </c>
      <c r="S211" s="178" t="e">
        <f t="shared" ca="1" si="49"/>
        <v>#VALUE!</v>
      </c>
      <c r="T211" s="178" t="e">
        <f t="shared" ca="1" si="50"/>
        <v>#VALUE!</v>
      </c>
      <c r="U211" s="178" t="e">
        <f t="shared" ca="1" si="60"/>
        <v>#VALUE!</v>
      </c>
      <c r="V211" s="183" t="e">
        <f t="shared" ca="1" si="61"/>
        <v>#VALUE!</v>
      </c>
      <c r="W211" s="184" t="e">
        <f t="shared" ca="1" si="45"/>
        <v>#VALUE!</v>
      </c>
    </row>
    <row r="212" spans="1:23" hidden="1" x14ac:dyDescent="0.25">
      <c r="A212" s="179" t="str">
        <f t="shared" si="51"/>
        <v/>
      </c>
      <c r="B212" s="173" t="e">
        <f t="shared" ca="1" si="46"/>
        <v>#VALUE!</v>
      </c>
      <c r="C212" s="173" t="e">
        <f t="shared" ca="1" si="47"/>
        <v>#VALUE!</v>
      </c>
      <c r="D212" s="179" t="str">
        <f t="shared" si="55"/>
        <v/>
      </c>
      <c r="E212" s="174" t="str">
        <f t="shared" si="56"/>
        <v/>
      </c>
      <c r="F212" s="174" t="str">
        <f>IF(AND(A211="",A213=""),"",IF(A212="",ROUND(SUM($F$25:F211),2),IF(A212=$D$8,$E$24-ROUND(SUM($F$25:F211),2),ROUND($E$24/$D$8,2))))</f>
        <v/>
      </c>
      <c r="G212" s="156" t="str">
        <f>IF(A211=$D$8,ROUND(SUM($G$25:G211),2),IF(A212&gt;$F$8,"",IF(T212&lt;&gt;T211,ROUND(SUM(V212*$F$9*E211/T212,W212*$F$9*E211/T211),2),ROUND(E211*$F$9*D212/T211,2))))</f>
        <v/>
      </c>
      <c r="H212" s="174" t="str">
        <f>IF(A211=$D$8,SUM($H$25:H211),IF(A211&gt;$D$8,"",F212+G212))</f>
        <v/>
      </c>
      <c r="I212" s="185" t="str">
        <f t="shared" si="57"/>
        <v/>
      </c>
      <c r="J212" s="185" t="str">
        <f t="shared" si="58"/>
        <v/>
      </c>
      <c r="K212" s="185"/>
      <c r="L212" s="185" t="str">
        <f t="shared" si="59"/>
        <v/>
      </c>
      <c r="M212" s="174" t="str">
        <f t="shared" si="54"/>
        <v/>
      </c>
      <c r="N212" s="174" t="str">
        <f t="shared" si="53"/>
        <v/>
      </c>
      <c r="O212" s="188"/>
      <c r="P212" s="181" t="str">
        <f>IF(A211=$D$8,XIRR(R$24:R211,C$24:C211),"")</f>
        <v/>
      </c>
      <c r="Q212" s="185" t="str">
        <f t="shared" si="52"/>
        <v/>
      </c>
      <c r="R212" s="177">
        <f t="shared" si="48"/>
        <v>0</v>
      </c>
      <c r="S212" s="178" t="e">
        <f t="shared" ca="1" si="49"/>
        <v>#VALUE!</v>
      </c>
      <c r="T212" s="178" t="e">
        <f t="shared" ca="1" si="50"/>
        <v>#VALUE!</v>
      </c>
      <c r="U212" s="178" t="e">
        <f t="shared" ca="1" si="60"/>
        <v>#VALUE!</v>
      </c>
      <c r="V212" s="183" t="e">
        <f t="shared" ca="1" si="61"/>
        <v>#VALUE!</v>
      </c>
      <c r="W212" s="184" t="e">
        <f t="shared" ca="1" si="45"/>
        <v>#VALUE!</v>
      </c>
    </row>
    <row r="213" spans="1:23" hidden="1" x14ac:dyDescent="0.25">
      <c r="A213" s="179" t="str">
        <f t="shared" si="51"/>
        <v/>
      </c>
      <c r="B213" s="173" t="e">
        <f t="shared" ca="1" si="46"/>
        <v>#VALUE!</v>
      </c>
      <c r="C213" s="173" t="e">
        <f t="shared" ca="1" si="47"/>
        <v>#VALUE!</v>
      </c>
      <c r="D213" s="179" t="str">
        <f t="shared" si="55"/>
        <v/>
      </c>
      <c r="E213" s="174" t="str">
        <f t="shared" si="56"/>
        <v/>
      </c>
      <c r="F213" s="174" t="str">
        <f>IF(AND(A212="",A214=""),"",IF(A213="",ROUND(SUM($F$25:F212),2),IF(A213=$D$8,$E$24-ROUND(SUM($F$25:F212),2),ROUND($E$24/$D$8,2))))</f>
        <v/>
      </c>
      <c r="G213" s="156" t="str">
        <f>IF(A212=$D$8,ROUND(SUM($G$25:G212),2),IF(A213&gt;$F$8,"",IF(T213&lt;&gt;T212,ROUND(SUM(V213*$F$9*E212/T213,W213*$F$9*E212/T212),2),ROUND(E212*$F$9*D213/T212,2))))</f>
        <v/>
      </c>
      <c r="H213" s="174" t="str">
        <f>IF(A212=$D$8,SUM($H$25:H212),IF(A212&gt;$D$8,"",F213+G213))</f>
        <v/>
      </c>
      <c r="I213" s="185" t="str">
        <f t="shared" si="57"/>
        <v/>
      </c>
      <c r="J213" s="185" t="str">
        <f t="shared" si="58"/>
        <v/>
      </c>
      <c r="K213" s="185"/>
      <c r="L213" s="185" t="str">
        <f t="shared" si="59"/>
        <v/>
      </c>
      <c r="M213" s="174" t="str">
        <f t="shared" si="54"/>
        <v/>
      </c>
      <c r="N213" s="174" t="str">
        <f t="shared" si="53"/>
        <v/>
      </c>
      <c r="O213" s="188"/>
      <c r="P213" s="181" t="str">
        <f>IF(A212=$D$8,XIRR(R$24:R212,C$24:C212),"")</f>
        <v/>
      </c>
      <c r="Q213" s="185" t="str">
        <f t="shared" si="52"/>
        <v/>
      </c>
      <c r="R213" s="177">
        <f t="shared" si="48"/>
        <v>0</v>
      </c>
      <c r="S213" s="178" t="e">
        <f t="shared" ca="1" si="49"/>
        <v>#VALUE!</v>
      </c>
      <c r="T213" s="178" t="e">
        <f t="shared" ca="1" si="50"/>
        <v>#VALUE!</v>
      </c>
      <c r="U213" s="178" t="e">
        <f t="shared" ca="1" si="60"/>
        <v>#VALUE!</v>
      </c>
      <c r="V213" s="183" t="e">
        <f t="shared" ca="1" si="61"/>
        <v>#VALUE!</v>
      </c>
      <c r="W213" s="184" t="e">
        <f t="shared" ref="W213:W264" ca="1" si="62">D213-V213</f>
        <v>#VALUE!</v>
      </c>
    </row>
    <row r="214" spans="1:23" hidden="1" x14ac:dyDescent="0.25">
      <c r="A214" s="179" t="str">
        <f t="shared" si="51"/>
        <v/>
      </c>
      <c r="B214" s="173" t="e">
        <f t="shared" ca="1" si="46"/>
        <v>#VALUE!</v>
      </c>
      <c r="C214" s="173" t="e">
        <f t="shared" ca="1" si="47"/>
        <v>#VALUE!</v>
      </c>
      <c r="D214" s="179" t="str">
        <f t="shared" si="55"/>
        <v/>
      </c>
      <c r="E214" s="174" t="str">
        <f t="shared" si="56"/>
        <v/>
      </c>
      <c r="F214" s="174" t="str">
        <f>IF(AND(A213="",A215=""),"",IF(A214="",ROUND(SUM($F$25:F213),2),IF(A214=$D$8,$E$24-ROUND(SUM($F$25:F213),2),ROUND($E$24/$D$8,2))))</f>
        <v/>
      </c>
      <c r="G214" s="156" t="str">
        <f>IF(A213=$D$8,ROUND(SUM($G$25:G213),2),IF(A214&gt;$F$8,"",IF(T214&lt;&gt;T213,ROUND(SUM(V214*$F$9*E213/T214,W214*$F$9*E213/T213),2),ROUND(E213*$F$9*D214/T213,2))))</f>
        <v/>
      </c>
      <c r="H214" s="174" t="str">
        <f>IF(A213=$D$8,SUM($H$25:H213),IF(A213&gt;$D$8,"",F214+G214))</f>
        <v/>
      </c>
      <c r="I214" s="185" t="str">
        <f t="shared" si="57"/>
        <v/>
      </c>
      <c r="J214" s="185" t="str">
        <f t="shared" si="58"/>
        <v/>
      </c>
      <c r="K214" s="185"/>
      <c r="L214" s="185" t="str">
        <f t="shared" si="59"/>
        <v/>
      </c>
      <c r="M214" s="174" t="str">
        <f t="shared" si="54"/>
        <v/>
      </c>
      <c r="N214" s="174" t="str">
        <f t="shared" si="53"/>
        <v/>
      </c>
      <c r="O214" s="188"/>
      <c r="P214" s="181" t="str">
        <f>IF(A213=$D$8,XIRR(R$24:R213,C$24:C213),"")</f>
        <v/>
      </c>
      <c r="Q214" s="185" t="str">
        <f t="shared" si="52"/>
        <v/>
      </c>
      <c r="R214" s="177">
        <f t="shared" si="48"/>
        <v>0</v>
      </c>
      <c r="S214" s="178" t="e">
        <f t="shared" ca="1" si="49"/>
        <v>#VALUE!</v>
      </c>
      <c r="T214" s="178" t="e">
        <f t="shared" ca="1" si="50"/>
        <v>#VALUE!</v>
      </c>
      <c r="U214" s="178" t="e">
        <f t="shared" ca="1" si="60"/>
        <v>#VALUE!</v>
      </c>
      <c r="V214" s="183" t="e">
        <f t="shared" ca="1" si="61"/>
        <v>#VALUE!</v>
      </c>
      <c r="W214" s="184" t="e">
        <f t="shared" ca="1" si="62"/>
        <v>#VALUE!</v>
      </c>
    </row>
    <row r="215" spans="1:23" hidden="1" x14ac:dyDescent="0.25">
      <c r="A215" s="179" t="str">
        <f t="shared" si="51"/>
        <v/>
      </c>
      <c r="B215" s="173" t="e">
        <f t="shared" ca="1" si="46"/>
        <v>#VALUE!</v>
      </c>
      <c r="C215" s="173" t="e">
        <f t="shared" ca="1" si="47"/>
        <v>#VALUE!</v>
      </c>
      <c r="D215" s="179" t="str">
        <f t="shared" si="55"/>
        <v/>
      </c>
      <c r="E215" s="174" t="str">
        <f t="shared" si="56"/>
        <v/>
      </c>
      <c r="F215" s="174" t="str">
        <f>IF(AND(A214="",A216=""),"",IF(A215="",ROUND(SUM($F$25:F214),2),IF(A215=$D$8,$E$24-ROUND(SUM($F$25:F214),2),ROUND($E$24/$D$8,2))))</f>
        <v/>
      </c>
      <c r="G215" s="156" t="str">
        <f>IF(A214=$D$8,ROUND(SUM($G$25:G214),2),IF(A215&gt;$F$8,"",IF(T215&lt;&gt;T214,ROUND(SUM(V215*$F$9*E214/T215,W215*$F$9*E214/T214),2),ROUND(E214*$F$9*D215/T214,2))))</f>
        <v/>
      </c>
      <c r="H215" s="174" t="str">
        <f>IF(A214=$D$8,SUM($H$25:H214),IF(A214&gt;$D$8,"",F215+G215))</f>
        <v/>
      </c>
      <c r="I215" s="185" t="str">
        <f t="shared" si="57"/>
        <v/>
      </c>
      <c r="J215" s="185" t="str">
        <f t="shared" si="58"/>
        <v/>
      </c>
      <c r="K215" s="185"/>
      <c r="L215" s="185" t="str">
        <f t="shared" si="59"/>
        <v/>
      </c>
      <c r="M215" s="174" t="str">
        <f t="shared" si="54"/>
        <v/>
      </c>
      <c r="N215" s="174" t="str">
        <f t="shared" si="53"/>
        <v/>
      </c>
      <c r="O215" s="188"/>
      <c r="P215" s="181" t="str">
        <f>IF(A214=$D$8,XIRR(R$24:R214,C$24:C214),"")</f>
        <v/>
      </c>
      <c r="Q215" s="185" t="str">
        <f t="shared" si="52"/>
        <v/>
      </c>
      <c r="R215" s="177">
        <f t="shared" si="48"/>
        <v>0</v>
      </c>
      <c r="S215" s="178" t="e">
        <f t="shared" ca="1" si="49"/>
        <v>#VALUE!</v>
      </c>
      <c r="T215" s="178" t="e">
        <f t="shared" ca="1" si="50"/>
        <v>#VALUE!</v>
      </c>
      <c r="U215" s="178" t="e">
        <f t="shared" ca="1" si="60"/>
        <v>#VALUE!</v>
      </c>
      <c r="V215" s="183" t="e">
        <f t="shared" ca="1" si="61"/>
        <v>#VALUE!</v>
      </c>
      <c r="W215" s="184" t="e">
        <f t="shared" ca="1" si="62"/>
        <v>#VALUE!</v>
      </c>
    </row>
    <row r="216" spans="1:23" hidden="1" x14ac:dyDescent="0.25">
      <c r="A216" s="179" t="str">
        <f t="shared" si="51"/>
        <v/>
      </c>
      <c r="B216" s="173" t="e">
        <f t="shared" ca="1" si="46"/>
        <v>#VALUE!</v>
      </c>
      <c r="C216" s="173" t="e">
        <f t="shared" ca="1" si="47"/>
        <v>#VALUE!</v>
      </c>
      <c r="D216" s="179" t="str">
        <f t="shared" si="55"/>
        <v/>
      </c>
      <c r="E216" s="174" t="str">
        <f t="shared" si="56"/>
        <v/>
      </c>
      <c r="F216" s="174" t="str">
        <f>IF(AND(A215="",A217=""),"",IF(A216="",ROUND(SUM($F$25:F215),2),IF(A216=$D$8,$E$24-ROUND(SUM($F$25:F215),2),ROUND($E$24/$D$8,2))))</f>
        <v/>
      </c>
      <c r="G216" s="156" t="str">
        <f>IF(A215=$D$8,ROUND(SUM($G$25:G215),2),IF(A216&gt;$F$8,"",IF(T216&lt;&gt;T215,ROUND(SUM(V216*$F$9*E215/T216,W216*$F$9*E215/T215),2),ROUND(E215*$F$9*D216/T215,2))))</f>
        <v/>
      </c>
      <c r="H216" s="174" t="str">
        <f>IF(A215=$D$8,SUM($H$25:H215),IF(A215&gt;$D$8,"",F216+G216))</f>
        <v/>
      </c>
      <c r="I216" s="185" t="str">
        <f t="shared" si="57"/>
        <v/>
      </c>
      <c r="J216" s="185" t="str">
        <f t="shared" si="58"/>
        <v/>
      </c>
      <c r="K216" s="185"/>
      <c r="L216" s="185" t="str">
        <f t="shared" si="59"/>
        <v/>
      </c>
      <c r="M216" s="174" t="str">
        <f t="shared" si="54"/>
        <v/>
      </c>
      <c r="N216" s="174" t="str">
        <f t="shared" si="53"/>
        <v/>
      </c>
      <c r="O216" s="188"/>
      <c r="P216" s="181" t="str">
        <f>IF(A215=$D$8,XIRR(R$24:R215,C$24:C215),"")</f>
        <v/>
      </c>
      <c r="Q216" s="185" t="str">
        <f t="shared" si="52"/>
        <v/>
      </c>
      <c r="R216" s="177">
        <f t="shared" si="48"/>
        <v>0</v>
      </c>
      <c r="S216" s="178" t="e">
        <f t="shared" ca="1" si="49"/>
        <v>#VALUE!</v>
      </c>
      <c r="T216" s="178" t="e">
        <f t="shared" ca="1" si="50"/>
        <v>#VALUE!</v>
      </c>
      <c r="U216" s="178" t="e">
        <f t="shared" ca="1" si="60"/>
        <v>#VALUE!</v>
      </c>
      <c r="V216" s="183" t="e">
        <f t="shared" ca="1" si="61"/>
        <v>#VALUE!</v>
      </c>
      <c r="W216" s="184" t="e">
        <f t="shared" ca="1" si="62"/>
        <v>#VALUE!</v>
      </c>
    </row>
    <row r="217" spans="1:23" hidden="1" x14ac:dyDescent="0.25">
      <c r="A217" s="179" t="str">
        <f t="shared" si="51"/>
        <v/>
      </c>
      <c r="B217" s="173" t="e">
        <f t="shared" ca="1" si="46"/>
        <v>#VALUE!</v>
      </c>
      <c r="C217" s="173" t="e">
        <f t="shared" ca="1" si="47"/>
        <v>#VALUE!</v>
      </c>
      <c r="D217" s="179" t="str">
        <f t="shared" si="55"/>
        <v/>
      </c>
      <c r="E217" s="174" t="str">
        <f t="shared" si="56"/>
        <v/>
      </c>
      <c r="F217" s="174" t="str">
        <f>IF(AND(A216="",A218=""),"",IF(A217="",ROUND(SUM($F$25:F216),2),IF(A217=$D$8,$E$24-ROUND(SUM($F$25:F216),2),ROUND($E$24/$D$8,2))))</f>
        <v/>
      </c>
      <c r="G217" s="156" t="str">
        <f>IF(A216=$D$8,ROUND(SUM($G$25:G216),2),IF(A217&gt;$F$8,"",IF(T217&lt;&gt;T216,ROUND(SUM(V217*$F$9*E216/T217,W217*$F$9*E216/T216),2),ROUND(E216*$F$9*D217/T216,2))))</f>
        <v/>
      </c>
      <c r="H217" s="174" t="str">
        <f>IF(A216=$D$8,SUM($H$25:H216),IF(A216&gt;$D$8,"",F217+G217))</f>
        <v/>
      </c>
      <c r="I217" s="185" t="str">
        <f t="shared" si="57"/>
        <v/>
      </c>
      <c r="J217" s="185" t="str">
        <f t="shared" si="58"/>
        <v/>
      </c>
      <c r="K217" s="185" t="str">
        <f>IF($F$8&gt;192,($O$8+$O$10),IF($A$216=$F$8,$K$24*$G$8,""))</f>
        <v/>
      </c>
      <c r="L217" s="185" t="str">
        <f t="shared" si="59"/>
        <v/>
      </c>
      <c r="M217" s="174" t="str">
        <f t="shared" si="54"/>
        <v/>
      </c>
      <c r="N217" s="185" t="str">
        <f>IF($F$8&gt;192,($N$14),IF(A216=$F$8,N205+N193+N181+N169+N157+N145+N133+N121+N109+N97+N85+N73+N61+N49+N37+N24,""))</f>
        <v/>
      </c>
      <c r="O217" s="188"/>
      <c r="P217" s="181" t="str">
        <f>IF(A216=$D$8,XIRR(R$24:R216,C$24:C216),"")</f>
        <v/>
      </c>
      <c r="Q217" s="185" t="str">
        <f t="shared" si="52"/>
        <v/>
      </c>
      <c r="R217" s="177">
        <f t="shared" si="48"/>
        <v>0</v>
      </c>
      <c r="S217" s="178" t="e">
        <f t="shared" ca="1" si="49"/>
        <v>#VALUE!</v>
      </c>
      <c r="T217" s="178" t="e">
        <f t="shared" ca="1" si="50"/>
        <v>#VALUE!</v>
      </c>
      <c r="U217" s="178" t="e">
        <f t="shared" ca="1" si="60"/>
        <v>#VALUE!</v>
      </c>
      <c r="V217" s="183" t="e">
        <f t="shared" ca="1" si="61"/>
        <v>#VALUE!</v>
      </c>
      <c r="W217" s="184" t="e">
        <f t="shared" ca="1" si="62"/>
        <v>#VALUE!</v>
      </c>
    </row>
    <row r="218" spans="1:23" hidden="1" x14ac:dyDescent="0.25">
      <c r="A218" s="179" t="str">
        <f t="shared" si="51"/>
        <v/>
      </c>
      <c r="B218" s="173" t="e">
        <f t="shared" ref="B218:B264" ca="1" si="63">EDATE($B$24,A218)</f>
        <v>#VALUE!</v>
      </c>
      <c r="C218" s="173" t="e">
        <f t="shared" ref="C218:C264" ca="1" si="64">IF(B218=$D$10,B218-1,(IF(B218&gt;$D$10," ",B218)))</f>
        <v>#VALUE!</v>
      </c>
      <c r="D218" s="179" t="str">
        <f t="shared" si="55"/>
        <v/>
      </c>
      <c r="E218" s="174" t="str">
        <f t="shared" si="56"/>
        <v/>
      </c>
      <c r="F218" s="174" t="str">
        <f>IF(AND(A217="",A219=""),"",IF(A218="",ROUND(SUM($F$25:F217),2),IF(A218=$D$8,$E$24-ROUND(SUM($F$25:F217),2),ROUND($E$24/$D$8,2))))</f>
        <v/>
      </c>
      <c r="G218" s="156" t="str">
        <f>IF(A217=$D$8,ROUND(SUM($G$25:G217),2),IF(A218&gt;$F$8,"",IF(T218&lt;&gt;T217,ROUND(SUM(V218*$F$9*E217/T218,W218*$F$9*E217/T217),2),ROUND(E217*$F$9*D218/T217,2))))</f>
        <v/>
      </c>
      <c r="H218" s="174" t="str">
        <f>IF(A217=$D$8,SUM($H$25:H217),IF(A217&gt;$D$8,"",F218+G218))</f>
        <v/>
      </c>
      <c r="I218" s="185" t="str">
        <f t="shared" si="57"/>
        <v/>
      </c>
      <c r="J218" s="185" t="str">
        <f t="shared" si="58"/>
        <v/>
      </c>
      <c r="K218" s="185"/>
      <c r="L218" s="185" t="str">
        <f t="shared" si="59"/>
        <v/>
      </c>
      <c r="M218" s="174" t="str">
        <f t="shared" si="54"/>
        <v/>
      </c>
      <c r="N218" s="174" t="str">
        <f t="shared" si="53"/>
        <v/>
      </c>
      <c r="O218" s="188"/>
      <c r="P218" s="181" t="str">
        <f>IF(A217=$D$8,XIRR(R$24:R217,C$24:C217),"")</f>
        <v/>
      </c>
      <c r="Q218" s="185" t="str">
        <f t="shared" si="52"/>
        <v/>
      </c>
      <c r="R218" s="177">
        <f t="shared" ref="R218:R264" si="65">SUM(H218:Q218)</f>
        <v>0</v>
      </c>
      <c r="S218" s="178" t="e">
        <f t="shared" ref="S218:S265" ca="1" si="66">IF(C218="","",YEAR(C218))</f>
        <v>#VALUE!</v>
      </c>
      <c r="T218" s="178" t="e">
        <f t="shared" ref="T218:T264" ca="1" si="67">IF(OR(S218=2024,S218=2028,S218=2016,S218=2020,S218=2024,S218=2028,S218=2032,S218=2036,S218=2040),366,365)</f>
        <v>#VALUE!</v>
      </c>
      <c r="U218" s="178" t="e">
        <f t="shared" ca="1" si="60"/>
        <v>#VALUE!</v>
      </c>
      <c r="V218" s="183" t="e">
        <f t="shared" ca="1" si="61"/>
        <v>#VALUE!</v>
      </c>
      <c r="W218" s="184" t="e">
        <f t="shared" ca="1" si="62"/>
        <v>#VALUE!</v>
      </c>
    </row>
    <row r="219" spans="1:23" hidden="1" x14ac:dyDescent="0.25">
      <c r="A219" s="179" t="str">
        <f t="shared" ref="A219:A276" si="68">IF(A218&lt;$D$8,A218+1,"")</f>
        <v/>
      </c>
      <c r="B219" s="173" t="e">
        <f t="shared" ca="1" si="63"/>
        <v>#VALUE!</v>
      </c>
      <c r="C219" s="173" t="e">
        <f t="shared" ca="1" si="64"/>
        <v>#VALUE!</v>
      </c>
      <c r="D219" s="179" t="str">
        <f t="shared" si="55"/>
        <v/>
      </c>
      <c r="E219" s="174" t="str">
        <f t="shared" si="56"/>
        <v/>
      </c>
      <c r="F219" s="174" t="str">
        <f>IF(AND(A218="",A220=""),"",IF(A219="",ROUND(SUM($F$25:F218),2),IF(A219=$D$8,$E$24-ROUND(SUM($F$25:F218),2),ROUND($E$24/$D$8,2))))</f>
        <v/>
      </c>
      <c r="G219" s="156" t="str">
        <f>IF(A218=$D$8,ROUND(SUM($G$25:G218),2),IF(A219&gt;$F$8,"",IF(T219&lt;&gt;T218,ROUND(SUM(V219*$F$9*E218/T219,W219*$F$9*E218/T218),2),ROUND(E218*$F$9*D219/T218,2))))</f>
        <v/>
      </c>
      <c r="H219" s="174" t="str">
        <f>IF(A218=$D$8,SUM($H$25:H218),IF(A218&gt;$D$8,"",F219+G219))</f>
        <v/>
      </c>
      <c r="I219" s="185" t="str">
        <f t="shared" si="57"/>
        <v/>
      </c>
      <c r="J219" s="185" t="str">
        <f t="shared" si="58"/>
        <v/>
      </c>
      <c r="K219" s="185"/>
      <c r="L219" s="185" t="str">
        <f t="shared" si="59"/>
        <v/>
      </c>
      <c r="M219" s="174" t="str">
        <f t="shared" si="54"/>
        <v/>
      </c>
      <c r="N219" s="174" t="str">
        <f t="shared" si="53"/>
        <v/>
      </c>
      <c r="O219" s="188"/>
      <c r="P219" s="181" t="str">
        <f>IF(A218=$D$8,XIRR(R$24:R218,C$24:C218),"")</f>
        <v/>
      </c>
      <c r="Q219" s="185" t="str">
        <f t="shared" si="52"/>
        <v/>
      </c>
      <c r="R219" s="177">
        <f t="shared" si="65"/>
        <v>0</v>
      </c>
      <c r="S219" s="178" t="e">
        <f t="shared" ca="1" si="66"/>
        <v>#VALUE!</v>
      </c>
      <c r="T219" s="178" t="e">
        <f t="shared" ca="1" si="67"/>
        <v>#VALUE!</v>
      </c>
      <c r="U219" s="178" t="e">
        <f t="shared" ca="1" si="60"/>
        <v>#VALUE!</v>
      </c>
      <c r="V219" s="183" t="e">
        <f t="shared" ca="1" si="61"/>
        <v>#VALUE!</v>
      </c>
      <c r="W219" s="184" t="e">
        <f t="shared" ca="1" si="62"/>
        <v>#VALUE!</v>
      </c>
    </row>
    <row r="220" spans="1:23" hidden="1" x14ac:dyDescent="0.25">
      <c r="A220" s="179" t="str">
        <f t="shared" si="68"/>
        <v/>
      </c>
      <c r="B220" s="173" t="e">
        <f t="shared" ca="1" si="63"/>
        <v>#VALUE!</v>
      </c>
      <c r="C220" s="173" t="e">
        <f t="shared" ca="1" si="64"/>
        <v>#VALUE!</v>
      </c>
      <c r="D220" s="179" t="str">
        <f t="shared" si="55"/>
        <v/>
      </c>
      <c r="E220" s="174" t="str">
        <f t="shared" si="56"/>
        <v/>
      </c>
      <c r="F220" s="174" t="str">
        <f>IF(AND(A219="",A221=""),"",IF(A220="",ROUND(SUM($F$25:F219),2),IF(A220=$D$8,$E$24-ROUND(SUM($F$25:F219),2),ROUND($E$24/$D$8,2))))</f>
        <v/>
      </c>
      <c r="G220" s="156" t="str">
        <f>IF(A219=$D$8,ROUND(SUM($G$25:G219),2),IF(A220&gt;$F$8,"",IF(T220&lt;&gt;T219,ROUND(SUM(V220*$F$9*E219/T220,W220*$F$9*E219/T219),2),ROUND(E219*$F$9*D220/T219,2))))</f>
        <v/>
      </c>
      <c r="H220" s="174" t="str">
        <f>IF(A219=$D$8,SUM($H$25:H219),IF(A219&gt;$D$8,"",F220+G220))</f>
        <v/>
      </c>
      <c r="I220" s="185" t="str">
        <f t="shared" si="57"/>
        <v/>
      </c>
      <c r="J220" s="185" t="str">
        <f t="shared" si="58"/>
        <v/>
      </c>
      <c r="K220" s="185"/>
      <c r="L220" s="185" t="str">
        <f t="shared" si="59"/>
        <v/>
      </c>
      <c r="M220" s="174" t="str">
        <f t="shared" si="54"/>
        <v/>
      </c>
      <c r="N220" s="174" t="str">
        <f t="shared" si="53"/>
        <v/>
      </c>
      <c r="O220" s="188"/>
      <c r="P220" s="181" t="str">
        <f>IF(A219=$D$8,XIRR(R$24:R219,C$24:C219),"")</f>
        <v/>
      </c>
      <c r="Q220" s="185" t="str">
        <f t="shared" ref="Q220:Q265" si="69">IF(A219=$D$8,G220+M220+F220+I220+J220+K220+L220+N220+O220,"")</f>
        <v/>
      </c>
      <c r="R220" s="177">
        <f t="shared" si="65"/>
        <v>0</v>
      </c>
      <c r="S220" s="178" t="e">
        <f t="shared" ca="1" si="66"/>
        <v>#VALUE!</v>
      </c>
      <c r="T220" s="178" t="e">
        <f t="shared" ca="1" si="67"/>
        <v>#VALUE!</v>
      </c>
      <c r="U220" s="178" t="e">
        <f t="shared" ca="1" si="60"/>
        <v>#VALUE!</v>
      </c>
      <c r="V220" s="183" t="e">
        <f t="shared" ca="1" si="61"/>
        <v>#VALUE!</v>
      </c>
      <c r="W220" s="184" t="e">
        <f t="shared" ca="1" si="62"/>
        <v>#VALUE!</v>
      </c>
    </row>
    <row r="221" spans="1:23" hidden="1" x14ac:dyDescent="0.25">
      <c r="A221" s="179" t="str">
        <f t="shared" si="68"/>
        <v/>
      </c>
      <c r="B221" s="173" t="e">
        <f t="shared" ca="1" si="63"/>
        <v>#VALUE!</v>
      </c>
      <c r="C221" s="173" t="e">
        <f t="shared" ca="1" si="64"/>
        <v>#VALUE!</v>
      </c>
      <c r="D221" s="179" t="str">
        <f t="shared" si="55"/>
        <v/>
      </c>
      <c r="E221" s="174" t="str">
        <f t="shared" si="56"/>
        <v/>
      </c>
      <c r="F221" s="174" t="str">
        <f>IF(AND(A220="",A222=""),"",IF(A221="",ROUND(SUM($F$25:F220),2),IF(A221=$D$8,$E$24-ROUND(SUM($F$25:F220),2),ROUND($E$24/$D$8,2))))</f>
        <v/>
      </c>
      <c r="G221" s="156" t="str">
        <f>IF(A220=$D$8,ROUND(SUM($G$25:G220),2),IF(A221&gt;$F$8,"",IF(T221&lt;&gt;T220,ROUND(SUM(V221*$F$9*E220/T221,W221*$F$9*E220/T220),2),ROUND(E220*$F$9*D221/T220,2))))</f>
        <v/>
      </c>
      <c r="H221" s="174" t="str">
        <f>IF(A220=$D$8,SUM($H$25:H220),IF(A220&gt;$D$8,"",F221+G221))</f>
        <v/>
      </c>
      <c r="I221" s="185" t="str">
        <f t="shared" si="57"/>
        <v/>
      </c>
      <c r="J221" s="185" t="str">
        <f t="shared" si="58"/>
        <v/>
      </c>
      <c r="K221" s="185"/>
      <c r="L221" s="185" t="str">
        <f t="shared" si="59"/>
        <v/>
      </c>
      <c r="M221" s="174" t="str">
        <f t="shared" si="54"/>
        <v/>
      </c>
      <c r="N221" s="174" t="str">
        <f t="shared" si="53"/>
        <v/>
      </c>
      <c r="O221" s="188"/>
      <c r="P221" s="181" t="str">
        <f>IF(A220=$D$8,XIRR(R$24:R220,C$24:C220),"")</f>
        <v/>
      </c>
      <c r="Q221" s="185" t="str">
        <f t="shared" si="69"/>
        <v/>
      </c>
      <c r="R221" s="177">
        <f t="shared" si="65"/>
        <v>0</v>
      </c>
      <c r="S221" s="178" t="e">
        <f t="shared" ca="1" si="66"/>
        <v>#VALUE!</v>
      </c>
      <c r="T221" s="178" t="e">
        <f t="shared" ca="1" si="67"/>
        <v>#VALUE!</v>
      </c>
      <c r="U221" s="178" t="e">
        <f t="shared" ca="1" si="60"/>
        <v>#VALUE!</v>
      </c>
      <c r="V221" s="183" t="e">
        <f t="shared" ca="1" si="61"/>
        <v>#VALUE!</v>
      </c>
      <c r="W221" s="184" t="e">
        <f t="shared" ca="1" si="62"/>
        <v>#VALUE!</v>
      </c>
    </row>
    <row r="222" spans="1:23" hidden="1" x14ac:dyDescent="0.25">
      <c r="A222" s="179" t="str">
        <f t="shared" si="68"/>
        <v/>
      </c>
      <c r="B222" s="173" t="e">
        <f t="shared" ca="1" si="63"/>
        <v>#VALUE!</v>
      </c>
      <c r="C222" s="173" t="e">
        <f t="shared" ca="1" si="64"/>
        <v>#VALUE!</v>
      </c>
      <c r="D222" s="179" t="str">
        <f t="shared" si="55"/>
        <v/>
      </c>
      <c r="E222" s="174" t="str">
        <f t="shared" si="56"/>
        <v/>
      </c>
      <c r="F222" s="174" t="str">
        <f>IF(AND(A221="",A223=""),"",IF(A222="",ROUND(SUM($F$25:F221),2),IF(A222=$D$8,$E$24-ROUND(SUM($F$25:F221),2),ROUND($E$24/$D$8,2))))</f>
        <v/>
      </c>
      <c r="G222" s="156" t="str">
        <f>IF(A221=$D$8,ROUND(SUM($G$25:G221),2),IF(A222&gt;$F$8,"",IF(T222&lt;&gt;T221,ROUND(SUM(V222*$F$9*E221/T222,W222*$F$9*E221/T221),2),ROUND(E221*$F$9*D222/T221,2))))</f>
        <v/>
      </c>
      <c r="H222" s="174" t="str">
        <f>IF(A221=$D$8,SUM($H$25:H221),IF(A221&gt;$D$8,"",F222+G222))</f>
        <v/>
      </c>
      <c r="I222" s="185" t="str">
        <f t="shared" si="57"/>
        <v/>
      </c>
      <c r="J222" s="185" t="str">
        <f t="shared" si="58"/>
        <v/>
      </c>
      <c r="K222" s="185"/>
      <c r="L222" s="185" t="str">
        <f t="shared" si="59"/>
        <v/>
      </c>
      <c r="M222" s="174" t="str">
        <f t="shared" si="54"/>
        <v/>
      </c>
      <c r="N222" s="174" t="str">
        <f t="shared" ref="N222:N264" si="70">IF(A221=$D$8,$N$24,"")</f>
        <v/>
      </c>
      <c r="O222" s="188"/>
      <c r="P222" s="181" t="str">
        <f>IF(A221=$D$8,XIRR(R$24:R221,C$24:C221),"")</f>
        <v/>
      </c>
      <c r="Q222" s="185" t="str">
        <f t="shared" si="69"/>
        <v/>
      </c>
      <c r="R222" s="177">
        <f t="shared" si="65"/>
        <v>0</v>
      </c>
      <c r="S222" s="178" t="e">
        <f t="shared" ca="1" si="66"/>
        <v>#VALUE!</v>
      </c>
      <c r="T222" s="178" t="e">
        <f t="shared" ca="1" si="67"/>
        <v>#VALUE!</v>
      </c>
      <c r="U222" s="178" t="e">
        <f t="shared" ca="1" si="60"/>
        <v>#VALUE!</v>
      </c>
      <c r="V222" s="183" t="e">
        <f t="shared" ca="1" si="61"/>
        <v>#VALUE!</v>
      </c>
      <c r="W222" s="184" t="e">
        <f t="shared" ca="1" si="62"/>
        <v>#VALUE!</v>
      </c>
    </row>
    <row r="223" spans="1:23" hidden="1" x14ac:dyDescent="0.25">
      <c r="A223" s="179" t="str">
        <f t="shared" si="68"/>
        <v/>
      </c>
      <c r="B223" s="173" t="e">
        <f t="shared" ca="1" si="63"/>
        <v>#VALUE!</v>
      </c>
      <c r="C223" s="173" t="e">
        <f t="shared" ca="1" si="64"/>
        <v>#VALUE!</v>
      </c>
      <c r="D223" s="179" t="str">
        <f t="shared" si="55"/>
        <v/>
      </c>
      <c r="E223" s="174" t="str">
        <f t="shared" si="56"/>
        <v/>
      </c>
      <c r="F223" s="174" t="str">
        <f>IF(AND(A222="",A224=""),"",IF(A223="",ROUND(SUM($F$25:F222),2),IF(A223=$D$8,$E$24-ROUND(SUM($F$25:F222),2),ROUND($E$24/$D$8,2))))</f>
        <v/>
      </c>
      <c r="G223" s="156" t="str">
        <f>IF(A222=$D$8,ROUND(SUM($G$25:G222),2),IF(A223&gt;$F$8,"",IF(T223&lt;&gt;T222,ROUND(SUM(V223*$F$9*E222/T223,W223*$F$9*E222/T222),2),ROUND(E222*$F$9*D223/T222,2))))</f>
        <v/>
      </c>
      <c r="H223" s="174" t="str">
        <f>IF(A222=$D$8,SUM($H$25:H222),IF(A222&gt;$D$8,"",F223+G223))</f>
        <v/>
      </c>
      <c r="I223" s="185" t="str">
        <f t="shared" si="57"/>
        <v/>
      </c>
      <c r="J223" s="185" t="str">
        <f t="shared" si="58"/>
        <v/>
      </c>
      <c r="K223" s="185"/>
      <c r="L223" s="185" t="str">
        <f t="shared" si="59"/>
        <v/>
      </c>
      <c r="M223" s="174" t="str">
        <f t="shared" si="54"/>
        <v/>
      </c>
      <c r="N223" s="174" t="str">
        <f t="shared" si="70"/>
        <v/>
      </c>
      <c r="O223" s="188"/>
      <c r="P223" s="181" t="str">
        <f>IF(A222=$D$8,XIRR(R$24:R222,C$24:C222),"")</f>
        <v/>
      </c>
      <c r="Q223" s="185" t="str">
        <f t="shared" si="69"/>
        <v/>
      </c>
      <c r="R223" s="177">
        <f t="shared" si="65"/>
        <v>0</v>
      </c>
      <c r="S223" s="178" t="e">
        <f t="shared" ca="1" si="66"/>
        <v>#VALUE!</v>
      </c>
      <c r="T223" s="178" t="e">
        <f t="shared" ca="1" si="67"/>
        <v>#VALUE!</v>
      </c>
      <c r="U223" s="178" t="e">
        <f t="shared" ca="1" si="60"/>
        <v>#VALUE!</v>
      </c>
      <c r="V223" s="183" t="e">
        <f t="shared" ca="1" si="61"/>
        <v>#VALUE!</v>
      </c>
      <c r="W223" s="184" t="e">
        <f t="shared" ca="1" si="62"/>
        <v>#VALUE!</v>
      </c>
    </row>
    <row r="224" spans="1:23" hidden="1" x14ac:dyDescent="0.25">
      <c r="A224" s="179" t="str">
        <f t="shared" si="68"/>
        <v/>
      </c>
      <c r="B224" s="173" t="e">
        <f t="shared" ca="1" si="63"/>
        <v>#VALUE!</v>
      </c>
      <c r="C224" s="173" t="e">
        <f t="shared" ca="1" si="64"/>
        <v>#VALUE!</v>
      </c>
      <c r="D224" s="179" t="str">
        <f t="shared" si="55"/>
        <v/>
      </c>
      <c r="E224" s="174" t="str">
        <f t="shared" si="56"/>
        <v/>
      </c>
      <c r="F224" s="174" t="str">
        <f>IF(AND(A223="",A225=""),"",IF(A224="",ROUND(SUM($F$25:F223),2),IF(A224=$D$8,$E$24-ROUND(SUM($F$25:F223),2),ROUND($E$24/$D$8,2))))</f>
        <v/>
      </c>
      <c r="G224" s="156" t="str">
        <f>IF(A223=$D$8,ROUND(SUM($G$25:G223),2),IF(A224&gt;$F$8,"",IF(T224&lt;&gt;T223,ROUND(SUM(V224*$F$9*E223/T224,W224*$F$9*E223/T223),2),ROUND(E223*$F$9*D224/T223,2))))</f>
        <v/>
      </c>
      <c r="H224" s="174" t="str">
        <f>IF(A223=$D$8,SUM($H$25:H223),IF(A223&gt;$D$8,"",F224+G224))</f>
        <v/>
      </c>
      <c r="I224" s="185" t="str">
        <f t="shared" si="57"/>
        <v/>
      </c>
      <c r="J224" s="185" t="str">
        <f t="shared" si="58"/>
        <v/>
      </c>
      <c r="K224" s="185"/>
      <c r="L224" s="185" t="str">
        <f t="shared" si="59"/>
        <v/>
      </c>
      <c r="M224" s="174" t="str">
        <f t="shared" ref="M224:M265" si="71">IF(A223=$D$8,$M$24,"")</f>
        <v/>
      </c>
      <c r="N224" s="174" t="str">
        <f t="shared" si="70"/>
        <v/>
      </c>
      <c r="O224" s="188"/>
      <c r="P224" s="181" t="str">
        <f>IF(A223=$D$8,XIRR(R$24:R223,C$24:C223),"")</f>
        <v/>
      </c>
      <c r="Q224" s="185" t="str">
        <f t="shared" si="69"/>
        <v/>
      </c>
      <c r="R224" s="177">
        <f t="shared" si="65"/>
        <v>0</v>
      </c>
      <c r="S224" s="178" t="e">
        <f t="shared" ca="1" si="66"/>
        <v>#VALUE!</v>
      </c>
      <c r="T224" s="178" t="e">
        <f t="shared" ca="1" si="67"/>
        <v>#VALUE!</v>
      </c>
      <c r="U224" s="178" t="e">
        <f t="shared" ca="1" si="60"/>
        <v>#VALUE!</v>
      </c>
      <c r="V224" s="183" t="e">
        <f t="shared" ca="1" si="61"/>
        <v>#VALUE!</v>
      </c>
      <c r="W224" s="184" t="e">
        <f t="shared" ca="1" si="62"/>
        <v>#VALUE!</v>
      </c>
    </row>
    <row r="225" spans="1:23" hidden="1" x14ac:dyDescent="0.25">
      <c r="A225" s="179" t="str">
        <f t="shared" si="68"/>
        <v/>
      </c>
      <c r="B225" s="173" t="e">
        <f t="shared" ca="1" si="63"/>
        <v>#VALUE!</v>
      </c>
      <c r="C225" s="173" t="e">
        <f t="shared" ca="1" si="64"/>
        <v>#VALUE!</v>
      </c>
      <c r="D225" s="179" t="str">
        <f t="shared" si="55"/>
        <v/>
      </c>
      <c r="E225" s="174" t="str">
        <f t="shared" si="56"/>
        <v/>
      </c>
      <c r="F225" s="174" t="str">
        <f>IF(AND(A224="",A226=""),"",IF(A225="",ROUND(SUM($F$25:F224),2),IF(A225=$D$8,$E$24-ROUND(SUM($F$25:F224),2),ROUND($E$24/$D$8,2))))</f>
        <v/>
      </c>
      <c r="G225" s="156" t="str">
        <f>IF(A224=$D$8,ROUND(SUM($G$25:G224),2),IF(A225&gt;$F$8,"",IF(T225&lt;&gt;T224,ROUND(SUM(V225*$F$9*E224/T225,W225*$F$9*E224/T224),2),ROUND(E224*$F$9*D225/T224,2))))</f>
        <v/>
      </c>
      <c r="H225" s="174" t="str">
        <f>IF(A224=$D$8,SUM($H$25:H224),IF(A224&gt;$D$8,"",F225+G225))</f>
        <v/>
      </c>
      <c r="I225" s="185" t="str">
        <f t="shared" si="57"/>
        <v/>
      </c>
      <c r="J225" s="185" t="str">
        <f t="shared" si="58"/>
        <v/>
      </c>
      <c r="K225" s="185"/>
      <c r="L225" s="185" t="str">
        <f t="shared" si="59"/>
        <v/>
      </c>
      <c r="M225" s="174" t="str">
        <f t="shared" si="71"/>
        <v/>
      </c>
      <c r="N225" s="174" t="str">
        <f t="shared" si="70"/>
        <v/>
      </c>
      <c r="O225" s="188"/>
      <c r="P225" s="181" t="str">
        <f>IF(A224=$D$8,XIRR(R$24:R224,C$24:C224),"")</f>
        <v/>
      </c>
      <c r="Q225" s="185" t="str">
        <f t="shared" si="69"/>
        <v/>
      </c>
      <c r="R225" s="177">
        <f t="shared" si="65"/>
        <v>0</v>
      </c>
      <c r="S225" s="178" t="e">
        <f t="shared" ca="1" si="66"/>
        <v>#VALUE!</v>
      </c>
      <c r="T225" s="178" t="e">
        <f t="shared" ca="1" si="67"/>
        <v>#VALUE!</v>
      </c>
      <c r="U225" s="178" t="e">
        <f t="shared" ca="1" si="60"/>
        <v>#VALUE!</v>
      </c>
      <c r="V225" s="183" t="e">
        <f t="shared" ca="1" si="61"/>
        <v>#VALUE!</v>
      </c>
      <c r="W225" s="184" t="e">
        <f t="shared" ca="1" si="62"/>
        <v>#VALUE!</v>
      </c>
    </row>
    <row r="226" spans="1:23" hidden="1" x14ac:dyDescent="0.25">
      <c r="A226" s="179" t="str">
        <f t="shared" si="68"/>
        <v/>
      </c>
      <c r="B226" s="173" t="e">
        <f t="shared" ca="1" si="63"/>
        <v>#VALUE!</v>
      </c>
      <c r="C226" s="173" t="e">
        <f t="shared" ca="1" si="64"/>
        <v>#VALUE!</v>
      </c>
      <c r="D226" s="179" t="str">
        <f t="shared" si="55"/>
        <v/>
      </c>
      <c r="E226" s="174" t="str">
        <f t="shared" si="56"/>
        <v/>
      </c>
      <c r="F226" s="174" t="str">
        <f>IF(AND(A225="",A227=""),"",IF(A226="",ROUND(SUM($F$25:F225),2),IF(A226=$D$8,$E$24-ROUND(SUM($F$25:F225),2),ROUND($E$24/$D$8,2))))</f>
        <v/>
      </c>
      <c r="G226" s="156" t="str">
        <f>IF(A225=$D$8,ROUND(SUM($G$25:G225),2),IF(A226&gt;$F$8,"",IF(T226&lt;&gt;T225,ROUND(SUM(V226*$F$9*E225/T226,W226*$F$9*E225/T225),2),ROUND(E225*$F$9*D226/T225,2))))</f>
        <v/>
      </c>
      <c r="H226" s="174" t="str">
        <f>IF(A225=$D$8,SUM($H$25:H225),IF(A225&gt;$D$8,"",F226+G226))</f>
        <v/>
      </c>
      <c r="I226" s="185" t="str">
        <f t="shared" si="57"/>
        <v/>
      </c>
      <c r="J226" s="185" t="str">
        <f t="shared" si="58"/>
        <v/>
      </c>
      <c r="K226" s="185"/>
      <c r="L226" s="185" t="str">
        <f t="shared" si="59"/>
        <v/>
      </c>
      <c r="M226" s="174" t="str">
        <f t="shared" si="71"/>
        <v/>
      </c>
      <c r="N226" s="174" t="str">
        <f t="shared" si="70"/>
        <v/>
      </c>
      <c r="O226" s="188"/>
      <c r="P226" s="181" t="str">
        <f>IF(A225=$D$8,XIRR(R$24:R225,C$24:C225),"")</f>
        <v/>
      </c>
      <c r="Q226" s="185" t="str">
        <f t="shared" si="69"/>
        <v/>
      </c>
      <c r="R226" s="177">
        <f t="shared" si="65"/>
        <v>0</v>
      </c>
      <c r="S226" s="178" t="e">
        <f t="shared" ca="1" si="66"/>
        <v>#VALUE!</v>
      </c>
      <c r="T226" s="178" t="e">
        <f t="shared" ca="1" si="67"/>
        <v>#VALUE!</v>
      </c>
      <c r="U226" s="178" t="e">
        <f t="shared" ca="1" si="60"/>
        <v>#VALUE!</v>
      </c>
      <c r="V226" s="183" t="e">
        <f t="shared" ca="1" si="61"/>
        <v>#VALUE!</v>
      </c>
      <c r="W226" s="184" t="e">
        <f t="shared" ca="1" si="62"/>
        <v>#VALUE!</v>
      </c>
    </row>
    <row r="227" spans="1:23" hidden="1" x14ac:dyDescent="0.25">
      <c r="A227" s="179" t="str">
        <f t="shared" si="68"/>
        <v/>
      </c>
      <c r="B227" s="173" t="e">
        <f t="shared" ca="1" si="63"/>
        <v>#VALUE!</v>
      </c>
      <c r="C227" s="173" t="e">
        <f t="shared" ca="1" si="64"/>
        <v>#VALUE!</v>
      </c>
      <c r="D227" s="179" t="str">
        <f t="shared" si="55"/>
        <v/>
      </c>
      <c r="E227" s="174" t="str">
        <f t="shared" si="56"/>
        <v/>
      </c>
      <c r="F227" s="174" t="str">
        <f>IF(AND(A226="",A228=""),"",IF(A227="",ROUND(SUM($F$25:F226),2),IF(A227=$D$8,$E$24-ROUND(SUM($F$25:F226),2),ROUND($E$24/$D$8,2))))</f>
        <v/>
      </c>
      <c r="G227" s="156" t="str">
        <f>IF(A226=$D$8,ROUND(SUM($G$25:G226),2),IF(A227&gt;$F$8,"",IF(T227&lt;&gt;T226,ROUND(SUM(V227*$F$9*E226/T227,W227*$F$9*E226/T226),2),ROUND(E226*$F$9*D227/T226,2))))</f>
        <v/>
      </c>
      <c r="H227" s="174" t="str">
        <f>IF(A226=$D$8,SUM($H$25:H226),IF(A226&gt;$D$8,"",F227+G227))</f>
        <v/>
      </c>
      <c r="I227" s="185" t="str">
        <f t="shared" si="57"/>
        <v/>
      </c>
      <c r="J227" s="185" t="str">
        <f t="shared" si="58"/>
        <v/>
      </c>
      <c r="K227" s="185"/>
      <c r="L227" s="185" t="str">
        <f t="shared" si="59"/>
        <v/>
      </c>
      <c r="M227" s="174" t="str">
        <f t="shared" si="71"/>
        <v/>
      </c>
      <c r="N227" s="174" t="str">
        <f t="shared" si="70"/>
        <v/>
      </c>
      <c r="O227" s="188"/>
      <c r="P227" s="181" t="str">
        <f>IF(A226=$D$8,XIRR(R$24:R226,C$24:C226),"")</f>
        <v/>
      </c>
      <c r="Q227" s="185" t="str">
        <f t="shared" si="69"/>
        <v/>
      </c>
      <c r="R227" s="177">
        <f t="shared" si="65"/>
        <v>0</v>
      </c>
      <c r="S227" s="178" t="e">
        <f t="shared" ca="1" si="66"/>
        <v>#VALUE!</v>
      </c>
      <c r="T227" s="178" t="e">
        <f t="shared" ca="1" si="67"/>
        <v>#VALUE!</v>
      </c>
      <c r="U227" s="178" t="e">
        <f t="shared" ca="1" si="60"/>
        <v>#VALUE!</v>
      </c>
      <c r="V227" s="183" t="e">
        <f t="shared" ca="1" si="61"/>
        <v>#VALUE!</v>
      </c>
      <c r="W227" s="184" t="e">
        <f t="shared" ca="1" si="62"/>
        <v>#VALUE!</v>
      </c>
    </row>
    <row r="228" spans="1:23" hidden="1" x14ac:dyDescent="0.25">
      <c r="A228" s="179" t="str">
        <f t="shared" si="68"/>
        <v/>
      </c>
      <c r="B228" s="173" t="e">
        <f t="shared" ca="1" si="63"/>
        <v>#VALUE!</v>
      </c>
      <c r="C228" s="173" t="e">
        <f t="shared" ca="1" si="64"/>
        <v>#VALUE!</v>
      </c>
      <c r="D228" s="179" t="str">
        <f t="shared" si="55"/>
        <v/>
      </c>
      <c r="E228" s="174" t="str">
        <f t="shared" si="56"/>
        <v/>
      </c>
      <c r="F228" s="174" t="str">
        <f>IF(AND(A227="",A229=""),"",IF(A228="",ROUND(SUM($F$25:F227),2),IF(A228=$D$8,$E$24-ROUND(SUM($F$25:F227),2),ROUND($E$24/$D$8,2))))</f>
        <v/>
      </c>
      <c r="G228" s="156" t="str">
        <f>IF(A227=$D$8,ROUND(SUM($G$25:G227),2),IF(A228&gt;$F$8,"",IF(T228&lt;&gt;T227,ROUND(SUM(V228*$F$9*E227/T228,W228*$F$9*E227/T227),2),ROUND(E227*$F$9*D228/T227,2))))</f>
        <v/>
      </c>
      <c r="H228" s="174" t="str">
        <f>IF(A227=$D$8,SUM($H$25:H227),IF(A227&gt;$D$8,"",F228+G228))</f>
        <v/>
      </c>
      <c r="I228" s="185" t="str">
        <f t="shared" si="57"/>
        <v/>
      </c>
      <c r="J228" s="185" t="str">
        <f t="shared" si="58"/>
        <v/>
      </c>
      <c r="K228" s="185"/>
      <c r="L228" s="185" t="str">
        <f t="shared" si="59"/>
        <v/>
      </c>
      <c r="M228" s="174" t="str">
        <f t="shared" si="71"/>
        <v/>
      </c>
      <c r="N228" s="174" t="str">
        <f t="shared" si="70"/>
        <v/>
      </c>
      <c r="O228" s="188"/>
      <c r="P228" s="181" t="str">
        <f>IF(A227=$D$8,XIRR(R$24:R227,C$24:C227),"")</f>
        <v/>
      </c>
      <c r="Q228" s="185" t="str">
        <f t="shared" si="69"/>
        <v/>
      </c>
      <c r="R228" s="177">
        <f t="shared" si="65"/>
        <v>0</v>
      </c>
      <c r="S228" s="178" t="e">
        <f t="shared" ca="1" si="66"/>
        <v>#VALUE!</v>
      </c>
      <c r="T228" s="178" t="e">
        <f t="shared" ca="1" si="67"/>
        <v>#VALUE!</v>
      </c>
      <c r="U228" s="178" t="e">
        <f t="shared" ca="1" si="60"/>
        <v>#VALUE!</v>
      </c>
      <c r="V228" s="183" t="e">
        <f t="shared" ca="1" si="61"/>
        <v>#VALUE!</v>
      </c>
      <c r="W228" s="184" t="e">
        <f t="shared" ca="1" si="62"/>
        <v>#VALUE!</v>
      </c>
    </row>
    <row r="229" spans="1:23" hidden="1" x14ac:dyDescent="0.25">
      <c r="A229" s="179" t="str">
        <f t="shared" si="68"/>
        <v/>
      </c>
      <c r="B229" s="173" t="e">
        <f t="shared" ca="1" si="63"/>
        <v>#VALUE!</v>
      </c>
      <c r="C229" s="173" t="e">
        <f t="shared" ca="1" si="64"/>
        <v>#VALUE!</v>
      </c>
      <c r="D229" s="179" t="str">
        <f t="shared" si="55"/>
        <v/>
      </c>
      <c r="E229" s="174" t="str">
        <f t="shared" si="56"/>
        <v/>
      </c>
      <c r="F229" s="174" t="str">
        <f>IF(AND(A228="",A230=""),"",IF(A229="",ROUND(SUM($F$25:F228),2),IF(A229=$D$8,$E$24-ROUND(SUM($F$25:F228),2),ROUND($E$24/$D$8,2))))</f>
        <v/>
      </c>
      <c r="G229" s="156" t="str">
        <f>IF(A228=$D$8,ROUND(SUM($G$25:G228),2),IF(A229&gt;$F$8,"",IF(T229&lt;&gt;T228,ROUND(SUM(V229*$F$9*E228/T229,W229*$F$9*E228/T228),2),ROUND(E228*$F$9*D229/T228,2))))</f>
        <v/>
      </c>
      <c r="H229" s="174" t="str">
        <f>IF(A228=$D$8,SUM($H$25:H228),IF(A228&gt;$D$8,"",F229+G229))</f>
        <v/>
      </c>
      <c r="I229" s="185" t="str">
        <f t="shared" si="57"/>
        <v/>
      </c>
      <c r="J229" s="185" t="str">
        <f t="shared" si="58"/>
        <v/>
      </c>
      <c r="K229" s="185" t="str">
        <f>IF($F$8&gt;204,($O$8+$O$10),IF($A$228=$F$8,$K$24*$G$8,""))</f>
        <v/>
      </c>
      <c r="L229" s="185" t="str">
        <f t="shared" si="59"/>
        <v/>
      </c>
      <c r="M229" s="174" t="str">
        <f t="shared" si="71"/>
        <v/>
      </c>
      <c r="N229" s="185" t="str">
        <f>IF($F$8&gt;204,($N$14),IF(A228=$F$8,N217+N205+N193+N181+N169+N157+N145+N133+N121+N109+N97+N85+N73+N61+N49+N37+N24,""))</f>
        <v/>
      </c>
      <c r="O229" s="188"/>
      <c r="P229" s="181" t="str">
        <f>IF(A228=$D$8,XIRR(R$24:R228,C$24:C228),"")</f>
        <v/>
      </c>
      <c r="Q229" s="185" t="str">
        <f t="shared" si="69"/>
        <v/>
      </c>
      <c r="R229" s="177">
        <f t="shared" si="65"/>
        <v>0</v>
      </c>
      <c r="S229" s="178" t="e">
        <f t="shared" ca="1" si="66"/>
        <v>#VALUE!</v>
      </c>
      <c r="T229" s="178" t="e">
        <f t="shared" ca="1" si="67"/>
        <v>#VALUE!</v>
      </c>
      <c r="U229" s="178" t="e">
        <f t="shared" ca="1" si="60"/>
        <v>#VALUE!</v>
      </c>
      <c r="V229" s="183" t="e">
        <f t="shared" ca="1" si="61"/>
        <v>#VALUE!</v>
      </c>
      <c r="W229" s="184" t="e">
        <f t="shared" ca="1" si="62"/>
        <v>#VALUE!</v>
      </c>
    </row>
    <row r="230" spans="1:23" hidden="1" x14ac:dyDescent="0.25">
      <c r="A230" s="179" t="str">
        <f t="shared" si="68"/>
        <v/>
      </c>
      <c r="B230" s="173" t="e">
        <f t="shared" ca="1" si="63"/>
        <v>#VALUE!</v>
      </c>
      <c r="C230" s="173" t="e">
        <f t="shared" ca="1" si="64"/>
        <v>#VALUE!</v>
      </c>
      <c r="D230" s="179" t="str">
        <f t="shared" ref="D230:D264" si="72">IF(A230&gt;$D$8,"",C230-C229)</f>
        <v/>
      </c>
      <c r="E230" s="174" t="str">
        <f t="shared" ref="E230:E265" si="73">IF(A230&gt;$D$8,"",E229-F230)</f>
        <v/>
      </c>
      <c r="F230" s="174" t="str">
        <f>IF(AND(A229="",A231=""),"",IF(A230="",ROUND(SUM($F$25:F229),2),IF(A230=$D$8,$E$24-ROUND(SUM($F$25:F229),2),ROUND($E$24/$D$8,2))))</f>
        <v/>
      </c>
      <c r="G230" s="156" t="str">
        <f>IF(A229=$D$8,ROUND(SUM($G$25:G229),2),IF(A230&gt;$F$8,"",IF(T230&lt;&gt;T229,ROUND(SUM(V230*$F$9*E229/T230,W230*$F$9*E229/T229),2),ROUND(E229*$F$9*D230/T229,2))))</f>
        <v/>
      </c>
      <c r="H230" s="174" t="str">
        <f>IF(A229=$D$8,SUM($H$25:H229),IF(A229&gt;$D$8,"",F230+G230))</f>
        <v/>
      </c>
      <c r="I230" s="185" t="str">
        <f t="shared" ref="I230:I265" si="74">IF(A229=$F$8,$I$24,"")</f>
        <v/>
      </c>
      <c r="J230" s="185" t="str">
        <f t="shared" ref="J230:J265" si="75">IF(A229=$F$8,$J$24,"")</f>
        <v/>
      </c>
      <c r="K230" s="185"/>
      <c r="L230" s="185" t="str">
        <f t="shared" ref="L230:L265" si="76">IF(A229=$F$8,$L$24,"")</f>
        <v/>
      </c>
      <c r="M230" s="174" t="str">
        <f t="shared" si="71"/>
        <v/>
      </c>
      <c r="N230" s="174" t="str">
        <f t="shared" si="70"/>
        <v/>
      </c>
      <c r="O230" s="188"/>
      <c r="P230" s="181" t="str">
        <f>IF(A229=$D$8,XIRR(R$24:R229,C$24:C229),"")</f>
        <v/>
      </c>
      <c r="Q230" s="185" t="str">
        <f t="shared" si="69"/>
        <v/>
      </c>
      <c r="R230" s="177">
        <f t="shared" si="65"/>
        <v>0</v>
      </c>
      <c r="S230" s="178" t="e">
        <f t="shared" ca="1" si="66"/>
        <v>#VALUE!</v>
      </c>
      <c r="T230" s="178" t="e">
        <f t="shared" ca="1" si="67"/>
        <v>#VALUE!</v>
      </c>
      <c r="U230" s="178" t="e">
        <f t="shared" ca="1" si="60"/>
        <v>#VALUE!</v>
      </c>
      <c r="V230" s="183" t="e">
        <f t="shared" ca="1" si="61"/>
        <v>#VALUE!</v>
      </c>
      <c r="W230" s="184" t="e">
        <f t="shared" ca="1" si="62"/>
        <v>#VALUE!</v>
      </c>
    </row>
    <row r="231" spans="1:23" hidden="1" x14ac:dyDescent="0.25">
      <c r="A231" s="179" t="str">
        <f t="shared" si="68"/>
        <v/>
      </c>
      <c r="B231" s="173" t="e">
        <f t="shared" ca="1" si="63"/>
        <v>#VALUE!</v>
      </c>
      <c r="C231" s="173" t="e">
        <f t="shared" ca="1" si="64"/>
        <v>#VALUE!</v>
      </c>
      <c r="D231" s="179" t="str">
        <f t="shared" si="72"/>
        <v/>
      </c>
      <c r="E231" s="174" t="str">
        <f t="shared" si="73"/>
        <v/>
      </c>
      <c r="F231" s="174" t="str">
        <f>IF(AND(A230="",A232=""),"",IF(A231="",ROUND(SUM($F$25:F230),2),IF(A231=$D$8,$E$24-ROUND(SUM($F$25:F230),2),ROUND($E$24/$D$8,2))))</f>
        <v/>
      </c>
      <c r="G231" s="156" t="str">
        <f>IF(A230=$D$8,ROUND(SUM($G$25:G230),2),IF(A231&gt;$F$8,"",IF(T231&lt;&gt;T230,ROUND(SUM(V231*$F$9*E230/T231,W231*$F$9*E230/T230),2),ROUND(E230*$F$9*D231/T230,2))))</f>
        <v/>
      </c>
      <c r="H231" s="174" t="str">
        <f>IF(A230=$D$8,SUM($H$25:H230),IF(A230&gt;$D$8,"",F231+G231))</f>
        <v/>
      </c>
      <c r="I231" s="185" t="str">
        <f t="shared" si="74"/>
        <v/>
      </c>
      <c r="J231" s="185" t="str">
        <f t="shared" si="75"/>
        <v/>
      </c>
      <c r="K231" s="185"/>
      <c r="L231" s="185" t="str">
        <f t="shared" si="76"/>
        <v/>
      </c>
      <c r="M231" s="174" t="str">
        <f t="shared" si="71"/>
        <v/>
      </c>
      <c r="N231" s="174" t="str">
        <f t="shared" si="70"/>
        <v/>
      </c>
      <c r="O231" s="188"/>
      <c r="P231" s="181" t="str">
        <f>IF(A230=$D$8,XIRR(R$24:R230,C$24:C230),"")</f>
        <v/>
      </c>
      <c r="Q231" s="185" t="str">
        <f t="shared" si="69"/>
        <v/>
      </c>
      <c r="R231" s="177">
        <f t="shared" si="65"/>
        <v>0</v>
      </c>
      <c r="S231" s="178" t="e">
        <f t="shared" ca="1" si="66"/>
        <v>#VALUE!</v>
      </c>
      <c r="T231" s="178" t="e">
        <f t="shared" ca="1" si="67"/>
        <v>#VALUE!</v>
      </c>
      <c r="U231" s="178" t="e">
        <f t="shared" ca="1" si="60"/>
        <v>#VALUE!</v>
      </c>
      <c r="V231" s="183" t="e">
        <f t="shared" ca="1" si="61"/>
        <v>#VALUE!</v>
      </c>
      <c r="W231" s="184" t="e">
        <f t="shared" ca="1" si="62"/>
        <v>#VALUE!</v>
      </c>
    </row>
    <row r="232" spans="1:23" hidden="1" x14ac:dyDescent="0.25">
      <c r="A232" s="179" t="str">
        <f t="shared" si="68"/>
        <v/>
      </c>
      <c r="B232" s="173" t="e">
        <f t="shared" ca="1" si="63"/>
        <v>#VALUE!</v>
      </c>
      <c r="C232" s="173" t="e">
        <f t="shared" ca="1" si="64"/>
        <v>#VALUE!</v>
      </c>
      <c r="D232" s="179" t="str">
        <f t="shared" si="72"/>
        <v/>
      </c>
      <c r="E232" s="174" t="str">
        <f t="shared" si="73"/>
        <v/>
      </c>
      <c r="F232" s="174" t="str">
        <f>IF(AND(A231="",A233=""),"",IF(A232="",ROUND(SUM($F$25:F231),2),IF(A232=$D$8,$E$24-ROUND(SUM($F$25:F231),2),ROUND($E$24/$D$8,2))))</f>
        <v/>
      </c>
      <c r="G232" s="156" t="str">
        <f>IF(A231=$D$8,ROUND(SUM($G$25:G231),2),IF(A232&gt;$F$8,"",IF(T232&lt;&gt;T231,ROUND(SUM(V232*$F$9*E231/T232,W232*$F$9*E231/T231),2),ROUND(E231*$F$9*D232/T231,2))))</f>
        <v/>
      </c>
      <c r="H232" s="174" t="str">
        <f>IF(A231=$D$8,SUM($H$25:H231),IF(A231&gt;$D$8,"",F232+G232))</f>
        <v/>
      </c>
      <c r="I232" s="185" t="str">
        <f t="shared" si="74"/>
        <v/>
      </c>
      <c r="J232" s="185" t="str">
        <f t="shared" si="75"/>
        <v/>
      </c>
      <c r="K232" s="185"/>
      <c r="L232" s="185" t="str">
        <f t="shared" si="76"/>
        <v/>
      </c>
      <c r="M232" s="174" t="str">
        <f t="shared" si="71"/>
        <v/>
      </c>
      <c r="N232" s="174" t="str">
        <f t="shared" si="70"/>
        <v/>
      </c>
      <c r="O232" s="188"/>
      <c r="P232" s="181" t="str">
        <f>IF(A231=$D$8,XIRR(R$24:R231,C$24:C231),"")</f>
        <v/>
      </c>
      <c r="Q232" s="185" t="str">
        <f t="shared" si="69"/>
        <v/>
      </c>
      <c r="R232" s="177">
        <f t="shared" si="65"/>
        <v>0</v>
      </c>
      <c r="S232" s="178" t="e">
        <f t="shared" ca="1" si="66"/>
        <v>#VALUE!</v>
      </c>
      <c r="T232" s="178" t="e">
        <f t="shared" ca="1" si="67"/>
        <v>#VALUE!</v>
      </c>
      <c r="U232" s="178" t="e">
        <f t="shared" ca="1" si="60"/>
        <v>#VALUE!</v>
      </c>
      <c r="V232" s="183" t="e">
        <f t="shared" ca="1" si="61"/>
        <v>#VALUE!</v>
      </c>
      <c r="W232" s="184" t="e">
        <f t="shared" ca="1" si="62"/>
        <v>#VALUE!</v>
      </c>
    </row>
    <row r="233" spans="1:23" hidden="1" x14ac:dyDescent="0.25">
      <c r="A233" s="179" t="str">
        <f t="shared" si="68"/>
        <v/>
      </c>
      <c r="B233" s="173" t="e">
        <f t="shared" ca="1" si="63"/>
        <v>#VALUE!</v>
      </c>
      <c r="C233" s="173" t="e">
        <f t="shared" ca="1" si="64"/>
        <v>#VALUE!</v>
      </c>
      <c r="D233" s="179" t="str">
        <f t="shared" si="72"/>
        <v/>
      </c>
      <c r="E233" s="174" t="str">
        <f t="shared" si="73"/>
        <v/>
      </c>
      <c r="F233" s="174" t="str">
        <f>IF(AND(A232="",A234=""),"",IF(A233="",ROUND(SUM($F$25:F232),2),IF(A233=$D$8,$E$24-ROUND(SUM($F$25:F232),2),ROUND($E$24/$D$8,2))))</f>
        <v/>
      </c>
      <c r="G233" s="156" t="str">
        <f>IF(A232=$D$8,ROUND(SUM($G$25:G232),2),IF(A233&gt;$F$8,"",IF(T233&lt;&gt;T232,ROUND(SUM(V233*$F$9*E232/T233,W233*$F$9*E232/T232),2),ROUND(E232*$F$9*D233/T232,2))))</f>
        <v/>
      </c>
      <c r="H233" s="174" t="str">
        <f>IF(A232=$D$8,SUM($H$25:H232),IF(A232&gt;$D$8,"",F233+G233))</f>
        <v/>
      </c>
      <c r="I233" s="185" t="str">
        <f t="shared" si="74"/>
        <v/>
      </c>
      <c r="J233" s="185" t="str">
        <f t="shared" si="75"/>
        <v/>
      </c>
      <c r="K233" s="185"/>
      <c r="L233" s="185" t="str">
        <f t="shared" si="76"/>
        <v/>
      </c>
      <c r="M233" s="174" t="str">
        <f t="shared" si="71"/>
        <v/>
      </c>
      <c r="N233" s="174" t="str">
        <f t="shared" si="70"/>
        <v/>
      </c>
      <c r="O233" s="188"/>
      <c r="P233" s="181" t="str">
        <f>IF(A232=$D$8,XIRR(R$24:R232,C$24:C232),"")</f>
        <v/>
      </c>
      <c r="Q233" s="185" t="str">
        <f t="shared" si="69"/>
        <v/>
      </c>
      <c r="R233" s="177">
        <f t="shared" si="65"/>
        <v>0</v>
      </c>
      <c r="S233" s="178" t="e">
        <f t="shared" ca="1" si="66"/>
        <v>#VALUE!</v>
      </c>
      <c r="T233" s="178" t="e">
        <f t="shared" ca="1" si="67"/>
        <v>#VALUE!</v>
      </c>
      <c r="U233" s="178" t="e">
        <f t="shared" ca="1" si="60"/>
        <v>#VALUE!</v>
      </c>
      <c r="V233" s="183" t="e">
        <f t="shared" ca="1" si="61"/>
        <v>#VALUE!</v>
      </c>
      <c r="W233" s="184" t="e">
        <f t="shared" ca="1" si="62"/>
        <v>#VALUE!</v>
      </c>
    </row>
    <row r="234" spans="1:23" hidden="1" x14ac:dyDescent="0.25">
      <c r="A234" s="179" t="str">
        <f t="shared" si="68"/>
        <v/>
      </c>
      <c r="B234" s="173" t="e">
        <f t="shared" ca="1" si="63"/>
        <v>#VALUE!</v>
      </c>
      <c r="C234" s="173" t="e">
        <f t="shared" ca="1" si="64"/>
        <v>#VALUE!</v>
      </c>
      <c r="D234" s="179" t="str">
        <f t="shared" si="72"/>
        <v/>
      </c>
      <c r="E234" s="174" t="str">
        <f t="shared" si="73"/>
        <v/>
      </c>
      <c r="F234" s="174" t="str">
        <f>IF(AND(A233="",A235=""),"",IF(A234="",ROUND(SUM($F$25:F233),2),IF(A234=$D$8,$E$24-ROUND(SUM($F$25:F233),2),ROUND($E$24/$D$8,2))))</f>
        <v/>
      </c>
      <c r="G234" s="156" t="str">
        <f>IF(A233=$D$8,ROUND(SUM($G$25:G233),2),IF(A234&gt;$F$8,"",IF(T234&lt;&gt;T233,ROUND(SUM(V234*$F$9*E233/T234,W234*$F$9*E233/T233),2),ROUND(E233*$F$9*D234/T233,2))))</f>
        <v/>
      </c>
      <c r="H234" s="174" t="str">
        <f>IF(A233=$D$8,SUM($H$25:H233),IF(A233&gt;$D$8,"",F234+G234))</f>
        <v/>
      </c>
      <c r="I234" s="185" t="str">
        <f t="shared" si="74"/>
        <v/>
      </c>
      <c r="J234" s="185" t="str">
        <f t="shared" si="75"/>
        <v/>
      </c>
      <c r="K234" s="185"/>
      <c r="L234" s="185" t="str">
        <f t="shared" si="76"/>
        <v/>
      </c>
      <c r="M234" s="174" t="str">
        <f t="shared" si="71"/>
        <v/>
      </c>
      <c r="N234" s="174" t="str">
        <f t="shared" si="70"/>
        <v/>
      </c>
      <c r="O234" s="188"/>
      <c r="P234" s="181" t="str">
        <f>IF(A233=$D$8,XIRR(R$24:R233,C$24:C233),"")</f>
        <v/>
      </c>
      <c r="Q234" s="185" t="str">
        <f t="shared" si="69"/>
        <v/>
      </c>
      <c r="R234" s="177">
        <f t="shared" si="65"/>
        <v>0</v>
      </c>
      <c r="S234" s="178" t="e">
        <f t="shared" ca="1" si="66"/>
        <v>#VALUE!</v>
      </c>
      <c r="T234" s="178" t="e">
        <f t="shared" ca="1" si="67"/>
        <v>#VALUE!</v>
      </c>
      <c r="U234" s="178" t="e">
        <f t="shared" ca="1" si="60"/>
        <v>#VALUE!</v>
      </c>
      <c r="V234" s="183" t="e">
        <f t="shared" ca="1" si="61"/>
        <v>#VALUE!</v>
      </c>
      <c r="W234" s="184" t="e">
        <f t="shared" ca="1" si="62"/>
        <v>#VALUE!</v>
      </c>
    </row>
    <row r="235" spans="1:23" hidden="1" x14ac:dyDescent="0.25">
      <c r="A235" s="179" t="str">
        <f t="shared" si="68"/>
        <v/>
      </c>
      <c r="B235" s="173" t="e">
        <f t="shared" ca="1" si="63"/>
        <v>#VALUE!</v>
      </c>
      <c r="C235" s="173" t="e">
        <f t="shared" ca="1" si="64"/>
        <v>#VALUE!</v>
      </c>
      <c r="D235" s="179" t="str">
        <f t="shared" si="72"/>
        <v/>
      </c>
      <c r="E235" s="174" t="str">
        <f t="shared" si="73"/>
        <v/>
      </c>
      <c r="F235" s="174" t="str">
        <f>IF(AND(A234="",A236=""),"",IF(A235="",ROUND(SUM($F$25:F234),2),IF(A235=$D$8,$E$24-ROUND(SUM($F$25:F234),2),ROUND($E$24/$D$8,2))))</f>
        <v/>
      </c>
      <c r="G235" s="156" t="str">
        <f>IF(A234=$D$8,ROUND(SUM($G$25:G234),2),IF(A235&gt;$F$8,"",IF(T235&lt;&gt;T234,ROUND(SUM(V235*$F$9*E234/T235,W235*$F$9*E234/T234),2),ROUND(E234*$F$9*D235/T234,2))))</f>
        <v/>
      </c>
      <c r="H235" s="174" t="str">
        <f>IF(A234=$D$8,SUM($H$25:H234),IF(A234&gt;$D$8,"",F235+G235))</f>
        <v/>
      </c>
      <c r="I235" s="185" t="str">
        <f t="shared" si="74"/>
        <v/>
      </c>
      <c r="J235" s="185" t="str">
        <f t="shared" si="75"/>
        <v/>
      </c>
      <c r="K235" s="185"/>
      <c r="L235" s="185" t="str">
        <f t="shared" si="76"/>
        <v/>
      </c>
      <c r="M235" s="174" t="str">
        <f t="shared" si="71"/>
        <v/>
      </c>
      <c r="N235" s="174" t="str">
        <f t="shared" si="70"/>
        <v/>
      </c>
      <c r="O235" s="188"/>
      <c r="P235" s="181" t="str">
        <f>IF(A234=$D$8,XIRR(R$24:R234,C$24:C234),"")</f>
        <v/>
      </c>
      <c r="Q235" s="185" t="str">
        <f t="shared" si="69"/>
        <v/>
      </c>
      <c r="R235" s="177">
        <f t="shared" si="65"/>
        <v>0</v>
      </c>
      <c r="S235" s="178" t="e">
        <f t="shared" ca="1" si="66"/>
        <v>#VALUE!</v>
      </c>
      <c r="T235" s="178" t="e">
        <f t="shared" ca="1" si="67"/>
        <v>#VALUE!</v>
      </c>
      <c r="U235" s="178" t="e">
        <f t="shared" ca="1" si="60"/>
        <v>#VALUE!</v>
      </c>
      <c r="V235" s="183" t="e">
        <f t="shared" ca="1" si="61"/>
        <v>#VALUE!</v>
      </c>
      <c r="W235" s="184" t="e">
        <f t="shared" ca="1" si="62"/>
        <v>#VALUE!</v>
      </c>
    </row>
    <row r="236" spans="1:23" hidden="1" x14ac:dyDescent="0.25">
      <c r="A236" s="179" t="str">
        <f t="shared" si="68"/>
        <v/>
      </c>
      <c r="B236" s="173" t="e">
        <f t="shared" ca="1" si="63"/>
        <v>#VALUE!</v>
      </c>
      <c r="C236" s="173" t="e">
        <f t="shared" ca="1" si="64"/>
        <v>#VALUE!</v>
      </c>
      <c r="D236" s="179" t="str">
        <f t="shared" si="72"/>
        <v/>
      </c>
      <c r="E236" s="174" t="str">
        <f t="shared" si="73"/>
        <v/>
      </c>
      <c r="F236" s="174" t="str">
        <f>IF(AND(A235="",A237=""),"",IF(A236="",ROUND(SUM($F$25:F235),2),IF(A236=$D$8,$E$24-ROUND(SUM($F$25:F235),2),ROUND($E$24/$D$8,2))))</f>
        <v/>
      </c>
      <c r="G236" s="156" t="str">
        <f>IF(A235=$D$8,ROUND(SUM($G$25:G235),2),IF(A236&gt;$F$8,"",IF(T236&lt;&gt;T235,ROUND(SUM(V236*$F$9*E235/T236,W236*$F$9*E235/T235),2),ROUND(E235*$F$9*D236/T235,2))))</f>
        <v/>
      </c>
      <c r="H236" s="174" t="str">
        <f>IF(A235=$D$8,SUM($H$25:H235),IF(A235&gt;$D$8,"",F236+G236))</f>
        <v/>
      </c>
      <c r="I236" s="185" t="str">
        <f t="shared" si="74"/>
        <v/>
      </c>
      <c r="J236" s="185" t="str">
        <f t="shared" si="75"/>
        <v/>
      </c>
      <c r="K236" s="185"/>
      <c r="L236" s="185" t="str">
        <f t="shared" si="76"/>
        <v/>
      </c>
      <c r="M236" s="174" t="str">
        <f t="shared" si="71"/>
        <v/>
      </c>
      <c r="N236" s="174" t="str">
        <f t="shared" si="70"/>
        <v/>
      </c>
      <c r="O236" s="188"/>
      <c r="P236" s="181" t="str">
        <f>IF(A235=$D$8,XIRR(R$24:R235,C$24:C235),"")</f>
        <v/>
      </c>
      <c r="Q236" s="185" t="str">
        <f t="shared" si="69"/>
        <v/>
      </c>
      <c r="R236" s="177">
        <f t="shared" si="65"/>
        <v>0</v>
      </c>
      <c r="S236" s="178" t="e">
        <f t="shared" ca="1" si="66"/>
        <v>#VALUE!</v>
      </c>
      <c r="T236" s="178" t="e">
        <f t="shared" ca="1" si="67"/>
        <v>#VALUE!</v>
      </c>
      <c r="U236" s="178" t="e">
        <f t="shared" ca="1" si="60"/>
        <v>#VALUE!</v>
      </c>
      <c r="V236" s="183" t="e">
        <f t="shared" ca="1" si="61"/>
        <v>#VALUE!</v>
      </c>
      <c r="W236" s="184" t="e">
        <f t="shared" ca="1" si="62"/>
        <v>#VALUE!</v>
      </c>
    </row>
    <row r="237" spans="1:23" hidden="1" x14ac:dyDescent="0.25">
      <c r="A237" s="179" t="str">
        <f t="shared" si="68"/>
        <v/>
      </c>
      <c r="B237" s="173" t="e">
        <f t="shared" ca="1" si="63"/>
        <v>#VALUE!</v>
      </c>
      <c r="C237" s="173" t="e">
        <f t="shared" ca="1" si="64"/>
        <v>#VALUE!</v>
      </c>
      <c r="D237" s="179" t="str">
        <f t="shared" si="72"/>
        <v/>
      </c>
      <c r="E237" s="174" t="str">
        <f t="shared" si="73"/>
        <v/>
      </c>
      <c r="F237" s="174" t="str">
        <f>IF(AND(A236="",A238=""),"",IF(A237="",ROUND(SUM($F$25:F236),2),IF(A237=$D$8,$E$24-ROUND(SUM($F$25:F236),2),ROUND($E$24/$D$8,2))))</f>
        <v/>
      </c>
      <c r="G237" s="156" t="str">
        <f>IF(A236=$D$8,ROUND(SUM($G$25:G236),2),IF(A237&gt;$F$8,"",IF(T237&lt;&gt;T236,ROUND(SUM(V237*$F$9*E236/T237,W237*$F$9*E236/T236),2),ROUND(E236*$F$9*D237/T236,2))))</f>
        <v/>
      </c>
      <c r="H237" s="174" t="str">
        <f>IF(A236=$D$8,SUM($H$25:H236),IF(A236&gt;$D$8,"",F237+G237))</f>
        <v/>
      </c>
      <c r="I237" s="185" t="str">
        <f t="shared" si="74"/>
        <v/>
      </c>
      <c r="J237" s="185" t="str">
        <f t="shared" si="75"/>
        <v/>
      </c>
      <c r="K237" s="185"/>
      <c r="L237" s="185" t="str">
        <f t="shared" si="76"/>
        <v/>
      </c>
      <c r="M237" s="174" t="str">
        <f t="shared" si="71"/>
        <v/>
      </c>
      <c r="N237" s="174" t="str">
        <f t="shared" si="70"/>
        <v/>
      </c>
      <c r="O237" s="188"/>
      <c r="P237" s="181" t="str">
        <f>IF(A236=$D$8,XIRR(R$24:R236,C$24:C236),"")</f>
        <v/>
      </c>
      <c r="Q237" s="185" t="str">
        <f t="shared" si="69"/>
        <v/>
      </c>
      <c r="R237" s="177">
        <f t="shared" si="65"/>
        <v>0</v>
      </c>
      <c r="S237" s="178" t="e">
        <f t="shared" ca="1" si="66"/>
        <v>#VALUE!</v>
      </c>
      <c r="T237" s="178" t="e">
        <f t="shared" ca="1" si="67"/>
        <v>#VALUE!</v>
      </c>
      <c r="U237" s="178" t="e">
        <f t="shared" ref="U237:U264" ca="1" si="77">IF(C237="","",DAY(C237))</f>
        <v>#VALUE!</v>
      </c>
      <c r="V237" s="183" t="e">
        <f t="shared" ref="V237:V264" ca="1" si="78">U237-1</f>
        <v>#VALUE!</v>
      </c>
      <c r="W237" s="184" t="e">
        <f t="shared" ca="1" si="62"/>
        <v>#VALUE!</v>
      </c>
    </row>
    <row r="238" spans="1:23" hidden="1" x14ac:dyDescent="0.25">
      <c r="A238" s="179" t="str">
        <f t="shared" si="68"/>
        <v/>
      </c>
      <c r="B238" s="173" t="e">
        <f t="shared" ca="1" si="63"/>
        <v>#VALUE!</v>
      </c>
      <c r="C238" s="173" t="e">
        <f t="shared" ca="1" si="64"/>
        <v>#VALUE!</v>
      </c>
      <c r="D238" s="179" t="str">
        <f t="shared" si="72"/>
        <v/>
      </c>
      <c r="E238" s="174" t="str">
        <f t="shared" si="73"/>
        <v/>
      </c>
      <c r="F238" s="174" t="str">
        <f>IF(AND(A237="",A239=""),"",IF(A238="",ROUND(SUM($F$25:F237),2),IF(A238=$D$8,$E$24-ROUND(SUM($F$25:F237),2),ROUND($E$24/$D$8,2))))</f>
        <v/>
      </c>
      <c r="G238" s="156" t="str">
        <f>IF(A237=$D$8,ROUND(SUM($G$25:G237),2),IF(A238&gt;$F$8,"",IF(T238&lt;&gt;T237,ROUND(SUM(V238*$F$9*E237/T238,W238*$F$9*E237/T237),2),ROUND(E237*$F$9*D238/T237,2))))</f>
        <v/>
      </c>
      <c r="H238" s="174" t="str">
        <f>IF(A237=$D$8,SUM($H$25:H237),IF(A237&gt;$D$8,"",F238+G238))</f>
        <v/>
      </c>
      <c r="I238" s="185" t="str">
        <f t="shared" si="74"/>
        <v/>
      </c>
      <c r="J238" s="185" t="str">
        <f t="shared" si="75"/>
        <v/>
      </c>
      <c r="K238" s="185"/>
      <c r="L238" s="185" t="str">
        <f t="shared" si="76"/>
        <v/>
      </c>
      <c r="M238" s="174" t="str">
        <f t="shared" si="71"/>
        <v/>
      </c>
      <c r="N238" s="174" t="str">
        <f t="shared" si="70"/>
        <v/>
      </c>
      <c r="O238" s="188"/>
      <c r="P238" s="181" t="str">
        <f>IF(A237=$D$8,XIRR(R$24:R237,C$24:C237),"")</f>
        <v/>
      </c>
      <c r="Q238" s="185" t="str">
        <f t="shared" si="69"/>
        <v/>
      </c>
      <c r="R238" s="177">
        <f t="shared" si="65"/>
        <v>0</v>
      </c>
      <c r="S238" s="178" t="e">
        <f t="shared" ca="1" si="66"/>
        <v>#VALUE!</v>
      </c>
      <c r="T238" s="178" t="e">
        <f t="shared" ca="1" si="67"/>
        <v>#VALUE!</v>
      </c>
      <c r="U238" s="178" t="e">
        <f t="shared" ca="1" si="77"/>
        <v>#VALUE!</v>
      </c>
      <c r="V238" s="183" t="e">
        <f t="shared" ca="1" si="78"/>
        <v>#VALUE!</v>
      </c>
      <c r="W238" s="184" t="e">
        <f t="shared" ca="1" si="62"/>
        <v>#VALUE!</v>
      </c>
    </row>
    <row r="239" spans="1:23" hidden="1" x14ac:dyDescent="0.25">
      <c r="A239" s="179" t="str">
        <f t="shared" si="68"/>
        <v/>
      </c>
      <c r="B239" s="173" t="e">
        <f t="shared" ca="1" si="63"/>
        <v>#VALUE!</v>
      </c>
      <c r="C239" s="173" t="e">
        <f t="shared" ca="1" si="64"/>
        <v>#VALUE!</v>
      </c>
      <c r="D239" s="179" t="str">
        <f t="shared" si="72"/>
        <v/>
      </c>
      <c r="E239" s="174" t="str">
        <f t="shared" si="73"/>
        <v/>
      </c>
      <c r="F239" s="174" t="str">
        <f>IF(AND(A238="",A240=""),"",IF(A239="",ROUND(SUM($F$25:F238),2),IF(A239=$D$8,$E$24-ROUND(SUM($F$25:F238),2),ROUND($E$24/$D$8,2))))</f>
        <v/>
      </c>
      <c r="G239" s="156" t="str">
        <f>IF(A238=$D$8,ROUND(SUM($G$25:G238),2),IF(A239&gt;$F$8,"",IF(T239&lt;&gt;T238,ROUND(SUM(V239*$F$9*E238/T239,W239*$F$9*E238/T238),2),ROUND(E238*$F$9*D239/T238,2))))</f>
        <v/>
      </c>
      <c r="H239" s="174" t="str">
        <f>IF(A238=$D$8,SUM($H$25:H238),IF(A238&gt;$D$8,"",F239+G239))</f>
        <v/>
      </c>
      <c r="I239" s="185" t="str">
        <f t="shared" si="74"/>
        <v/>
      </c>
      <c r="J239" s="185" t="str">
        <f t="shared" si="75"/>
        <v/>
      </c>
      <c r="K239" s="185"/>
      <c r="L239" s="185" t="str">
        <f t="shared" si="76"/>
        <v/>
      </c>
      <c r="M239" s="174" t="str">
        <f t="shared" si="71"/>
        <v/>
      </c>
      <c r="N239" s="174" t="str">
        <f t="shared" si="70"/>
        <v/>
      </c>
      <c r="O239" s="188"/>
      <c r="P239" s="181" t="str">
        <f>IF(A238=$D$8,XIRR(R$24:R238,C$24:C238),"")</f>
        <v/>
      </c>
      <c r="Q239" s="185" t="str">
        <f t="shared" si="69"/>
        <v/>
      </c>
      <c r="R239" s="177">
        <f t="shared" si="65"/>
        <v>0</v>
      </c>
      <c r="S239" s="178" t="e">
        <f t="shared" ca="1" si="66"/>
        <v>#VALUE!</v>
      </c>
      <c r="T239" s="178" t="e">
        <f t="shared" ca="1" si="67"/>
        <v>#VALUE!</v>
      </c>
      <c r="U239" s="178" t="e">
        <f t="shared" ca="1" si="77"/>
        <v>#VALUE!</v>
      </c>
      <c r="V239" s="183" t="e">
        <f t="shared" ca="1" si="78"/>
        <v>#VALUE!</v>
      </c>
      <c r="W239" s="184" t="e">
        <f t="shared" ca="1" si="62"/>
        <v>#VALUE!</v>
      </c>
    </row>
    <row r="240" spans="1:23" hidden="1" x14ac:dyDescent="0.25">
      <c r="A240" s="179" t="str">
        <f t="shared" si="68"/>
        <v/>
      </c>
      <c r="B240" s="173" t="e">
        <f t="shared" ca="1" si="63"/>
        <v>#VALUE!</v>
      </c>
      <c r="C240" s="173" t="e">
        <f t="shared" ca="1" si="64"/>
        <v>#VALUE!</v>
      </c>
      <c r="D240" s="179" t="str">
        <f t="shared" si="72"/>
        <v/>
      </c>
      <c r="E240" s="174" t="str">
        <f t="shared" si="73"/>
        <v/>
      </c>
      <c r="F240" s="174" t="str">
        <f>IF(AND(A239="",A241=""),"",IF(A240="",ROUND(SUM($F$25:F239),2),IF(A240=$D$8,$E$24-ROUND(SUM($F$25:F239),2),ROUND($E$24/$D$8,2))))</f>
        <v/>
      </c>
      <c r="G240" s="156" t="str">
        <f>IF(A239=$D$8,ROUND(SUM($G$25:G239),2),IF(A240&gt;$F$8,"",IF(T240&lt;&gt;T239,ROUND(SUM(V240*$F$9*E239/T240,W240*$F$9*E239/T239),2),ROUND(E239*$F$9*D240/T239,2))))</f>
        <v/>
      </c>
      <c r="H240" s="174" t="str">
        <f>IF(A239=$D$8,SUM($H$25:H239),IF(A239&gt;$D$8,"",F240+G240))</f>
        <v/>
      </c>
      <c r="I240" s="185" t="str">
        <f t="shared" si="74"/>
        <v/>
      </c>
      <c r="J240" s="185" t="str">
        <f t="shared" si="75"/>
        <v/>
      </c>
      <c r="K240" s="185"/>
      <c r="L240" s="185" t="str">
        <f t="shared" si="76"/>
        <v/>
      </c>
      <c r="M240" s="174" t="str">
        <f t="shared" si="71"/>
        <v/>
      </c>
      <c r="N240" s="174" t="str">
        <f t="shared" si="70"/>
        <v/>
      </c>
      <c r="O240" s="188"/>
      <c r="P240" s="181" t="str">
        <f>IF(A239=$D$8,XIRR(R$24:R239,C$24:C239),"")</f>
        <v/>
      </c>
      <c r="Q240" s="185" t="str">
        <f t="shared" si="69"/>
        <v/>
      </c>
      <c r="R240" s="177">
        <f t="shared" si="65"/>
        <v>0</v>
      </c>
      <c r="S240" s="178" t="e">
        <f t="shared" ca="1" si="66"/>
        <v>#VALUE!</v>
      </c>
      <c r="T240" s="178" t="e">
        <f t="shared" ca="1" si="67"/>
        <v>#VALUE!</v>
      </c>
      <c r="U240" s="178" t="e">
        <f t="shared" ca="1" si="77"/>
        <v>#VALUE!</v>
      </c>
      <c r="V240" s="183" t="e">
        <f t="shared" ca="1" si="78"/>
        <v>#VALUE!</v>
      </c>
      <c r="W240" s="184" t="e">
        <f t="shared" ca="1" si="62"/>
        <v>#VALUE!</v>
      </c>
    </row>
    <row r="241" spans="1:23" hidden="1" x14ac:dyDescent="0.25">
      <c r="A241" s="179" t="str">
        <f t="shared" si="68"/>
        <v/>
      </c>
      <c r="B241" s="173" t="e">
        <f t="shared" ca="1" si="63"/>
        <v>#VALUE!</v>
      </c>
      <c r="C241" s="173" t="e">
        <f t="shared" ca="1" si="64"/>
        <v>#VALUE!</v>
      </c>
      <c r="D241" s="179" t="str">
        <f t="shared" si="72"/>
        <v/>
      </c>
      <c r="E241" s="174" t="str">
        <f t="shared" si="73"/>
        <v/>
      </c>
      <c r="F241" s="174" t="str">
        <f>IF(AND(A240="",A242=""),"",IF(A241="",ROUND(SUM($F$25:F240),2),IF(A241=$D$8,$E$24-ROUND(SUM($F$25:F240),2),ROUND($E$24/$D$8,2))))</f>
        <v/>
      </c>
      <c r="G241" s="156" t="str">
        <f>IF(A240=$D$8,ROUND(SUM($G$25:G240),2),IF(A241&gt;$F$8,"",IF(T241&lt;&gt;T240,ROUND(SUM(V241*$F$9*E240/T241,W241*$F$9*E240/T240),2),ROUND(E240*$F$9*D241/T240,2))))</f>
        <v/>
      </c>
      <c r="H241" s="174" t="str">
        <f>IF(A240=$D$8,SUM($H$25:H240),IF(A240&gt;$D$8,"",F241+G241))</f>
        <v/>
      </c>
      <c r="I241" s="185" t="str">
        <f t="shared" si="74"/>
        <v/>
      </c>
      <c r="J241" s="185" t="str">
        <f t="shared" si="75"/>
        <v/>
      </c>
      <c r="K241" s="185" t="str">
        <f>IF($F$8&gt;216,($O$8+$O$10),IF($A$240=$F$8,$K$24*$G$8,""))</f>
        <v/>
      </c>
      <c r="L241" s="185" t="str">
        <f t="shared" si="76"/>
        <v/>
      </c>
      <c r="M241" s="174" t="str">
        <f t="shared" si="71"/>
        <v/>
      </c>
      <c r="N241" s="185" t="str">
        <f>IF($F$8&gt;216,($N$14),IF(A240=$F$8,N229+N217+N205+N193+N181+N169+N157+N145+N133+N121+N109+N97+N85+N73+N61+N49+N37+N24,""))</f>
        <v/>
      </c>
      <c r="O241" s="188"/>
      <c r="P241" s="181" t="str">
        <f>IF(A240=$D$8,XIRR(R$24:R240,C$24:C240),"")</f>
        <v/>
      </c>
      <c r="Q241" s="185" t="str">
        <f t="shared" si="69"/>
        <v/>
      </c>
      <c r="R241" s="177">
        <f t="shared" si="65"/>
        <v>0</v>
      </c>
      <c r="S241" s="178" t="e">
        <f t="shared" ca="1" si="66"/>
        <v>#VALUE!</v>
      </c>
      <c r="T241" s="178" t="e">
        <f t="shared" ca="1" si="67"/>
        <v>#VALUE!</v>
      </c>
      <c r="U241" s="178" t="e">
        <f t="shared" ca="1" si="77"/>
        <v>#VALUE!</v>
      </c>
      <c r="V241" s="183" t="e">
        <f t="shared" ca="1" si="78"/>
        <v>#VALUE!</v>
      </c>
      <c r="W241" s="184" t="e">
        <f t="shared" ca="1" si="62"/>
        <v>#VALUE!</v>
      </c>
    </row>
    <row r="242" spans="1:23" hidden="1" x14ac:dyDescent="0.25">
      <c r="A242" s="179" t="str">
        <f t="shared" si="68"/>
        <v/>
      </c>
      <c r="B242" s="173" t="e">
        <f t="shared" ca="1" si="63"/>
        <v>#VALUE!</v>
      </c>
      <c r="C242" s="173" t="e">
        <f t="shared" ca="1" si="64"/>
        <v>#VALUE!</v>
      </c>
      <c r="D242" s="179" t="str">
        <f t="shared" si="72"/>
        <v/>
      </c>
      <c r="E242" s="174" t="str">
        <f t="shared" si="73"/>
        <v/>
      </c>
      <c r="F242" s="174" t="str">
        <f>IF(AND(A241="",A243=""),"",IF(A242="",ROUND(SUM($F$25:F241),2),IF(A242=$D$8,$E$24-ROUND(SUM($F$25:F241),2),ROUND($E$24/$D$8,2))))</f>
        <v/>
      </c>
      <c r="G242" s="156" t="str">
        <f>IF(A241=$D$8,ROUND(SUM($G$25:G241),2),IF(A242&gt;$F$8,"",IF(T242&lt;&gt;T241,ROUND(SUM(V242*$F$9*E241/T242,W242*$F$9*E241/T241),2),ROUND(E241*$F$9*D242/T241,2))))</f>
        <v/>
      </c>
      <c r="H242" s="174" t="str">
        <f>IF(A241=$D$8,SUM($H$25:H241),IF(A241&gt;$D$8,"",F242+G242))</f>
        <v/>
      </c>
      <c r="I242" s="185" t="str">
        <f t="shared" si="74"/>
        <v/>
      </c>
      <c r="J242" s="185" t="str">
        <f t="shared" si="75"/>
        <v/>
      </c>
      <c r="K242" s="185"/>
      <c r="L242" s="185" t="str">
        <f t="shared" si="76"/>
        <v/>
      </c>
      <c r="M242" s="174" t="str">
        <f t="shared" si="71"/>
        <v/>
      </c>
      <c r="N242" s="174" t="str">
        <f t="shared" si="70"/>
        <v/>
      </c>
      <c r="O242" s="188"/>
      <c r="P242" s="181" t="str">
        <f>IF(A241=$D$8,XIRR(R$24:R241,C$24:C241),"")</f>
        <v/>
      </c>
      <c r="Q242" s="185" t="str">
        <f t="shared" si="69"/>
        <v/>
      </c>
      <c r="R242" s="177">
        <f t="shared" si="65"/>
        <v>0</v>
      </c>
      <c r="S242" s="178" t="e">
        <f t="shared" ca="1" si="66"/>
        <v>#VALUE!</v>
      </c>
      <c r="T242" s="178" t="e">
        <f t="shared" ca="1" si="67"/>
        <v>#VALUE!</v>
      </c>
      <c r="U242" s="178" t="e">
        <f t="shared" ca="1" si="77"/>
        <v>#VALUE!</v>
      </c>
      <c r="V242" s="183" t="e">
        <f t="shared" ca="1" si="78"/>
        <v>#VALUE!</v>
      </c>
      <c r="W242" s="184" t="e">
        <f t="shared" ca="1" si="62"/>
        <v>#VALUE!</v>
      </c>
    </row>
    <row r="243" spans="1:23" hidden="1" x14ac:dyDescent="0.25">
      <c r="A243" s="179" t="str">
        <f t="shared" si="68"/>
        <v/>
      </c>
      <c r="B243" s="173" t="e">
        <f t="shared" ca="1" si="63"/>
        <v>#VALUE!</v>
      </c>
      <c r="C243" s="173" t="e">
        <f t="shared" ca="1" si="64"/>
        <v>#VALUE!</v>
      </c>
      <c r="D243" s="179" t="str">
        <f t="shared" si="72"/>
        <v/>
      </c>
      <c r="E243" s="174" t="str">
        <f t="shared" si="73"/>
        <v/>
      </c>
      <c r="F243" s="174" t="str">
        <f>IF(AND(A242="",A244=""),"",IF(A243="",ROUND(SUM($F$25:F242),2),IF(A243=$D$8,$E$24-ROUND(SUM($F$25:F242),2),ROUND($E$24/$D$8,2))))</f>
        <v/>
      </c>
      <c r="G243" s="156" t="str">
        <f>IF(A242=$D$8,ROUND(SUM($G$25:G242),2),IF(A243&gt;$F$8,"",IF(T243&lt;&gt;T242,ROUND(SUM(V243*$F$9*E242/T243,W243*$F$9*E242/T242),2),ROUND(E242*$F$9*D243/T242,2))))</f>
        <v/>
      </c>
      <c r="H243" s="174" t="str">
        <f>IF(A242=$D$8,SUM($H$25:H242),IF(A242&gt;$D$8,"",F243+G243))</f>
        <v/>
      </c>
      <c r="I243" s="185" t="str">
        <f t="shared" si="74"/>
        <v/>
      </c>
      <c r="J243" s="185" t="str">
        <f t="shared" si="75"/>
        <v/>
      </c>
      <c r="K243" s="185"/>
      <c r="L243" s="185" t="str">
        <f t="shared" si="76"/>
        <v/>
      </c>
      <c r="M243" s="174" t="str">
        <f t="shared" si="71"/>
        <v/>
      </c>
      <c r="N243" s="174" t="str">
        <f t="shared" si="70"/>
        <v/>
      </c>
      <c r="O243" s="188"/>
      <c r="P243" s="181" t="str">
        <f>IF(A242=$D$8,XIRR(R$24:R242,C$24:C242),"")</f>
        <v/>
      </c>
      <c r="Q243" s="185" t="str">
        <f t="shared" si="69"/>
        <v/>
      </c>
      <c r="R243" s="177">
        <f t="shared" si="65"/>
        <v>0</v>
      </c>
      <c r="S243" s="178" t="e">
        <f t="shared" ca="1" si="66"/>
        <v>#VALUE!</v>
      </c>
      <c r="T243" s="178" t="e">
        <f t="shared" ca="1" si="67"/>
        <v>#VALUE!</v>
      </c>
      <c r="U243" s="178" t="e">
        <f t="shared" ca="1" si="77"/>
        <v>#VALUE!</v>
      </c>
      <c r="V243" s="183" t="e">
        <f t="shared" ca="1" si="78"/>
        <v>#VALUE!</v>
      </c>
      <c r="W243" s="184" t="e">
        <f t="shared" ca="1" si="62"/>
        <v>#VALUE!</v>
      </c>
    </row>
    <row r="244" spans="1:23" hidden="1" x14ac:dyDescent="0.25">
      <c r="A244" s="179" t="str">
        <f t="shared" si="68"/>
        <v/>
      </c>
      <c r="B244" s="173" t="e">
        <f t="shared" ca="1" si="63"/>
        <v>#VALUE!</v>
      </c>
      <c r="C244" s="173" t="e">
        <f t="shared" ca="1" si="64"/>
        <v>#VALUE!</v>
      </c>
      <c r="D244" s="179" t="str">
        <f t="shared" si="72"/>
        <v/>
      </c>
      <c r="E244" s="174" t="str">
        <f t="shared" si="73"/>
        <v/>
      </c>
      <c r="F244" s="174" t="str">
        <f>IF(AND(A243="",A245=""),"",IF(A244="",ROUND(SUM($F$25:F243),2),IF(A244=$D$8,$E$24-ROUND(SUM($F$25:F243),2),ROUND($E$24/$D$8,2))))</f>
        <v/>
      </c>
      <c r="G244" s="156" t="str">
        <f>IF(A243=$D$8,ROUND(SUM($G$25:G243),2),IF(A244&gt;$F$8,"",IF(T244&lt;&gt;T243,ROUND(SUM(V244*$F$9*E243/T244,W244*$F$9*E243/T243),2),ROUND(E243*$F$9*D244/T243,2))))</f>
        <v/>
      </c>
      <c r="H244" s="174" t="str">
        <f>IF(A243=$D$8,SUM($H$25:H243),IF(A243&gt;$D$8,"",F244+G244))</f>
        <v/>
      </c>
      <c r="I244" s="185" t="str">
        <f t="shared" si="74"/>
        <v/>
      </c>
      <c r="J244" s="185" t="str">
        <f t="shared" si="75"/>
        <v/>
      </c>
      <c r="K244" s="185"/>
      <c r="L244" s="185" t="str">
        <f t="shared" si="76"/>
        <v/>
      </c>
      <c r="M244" s="174" t="str">
        <f t="shared" si="71"/>
        <v/>
      </c>
      <c r="N244" s="174" t="str">
        <f t="shared" si="70"/>
        <v/>
      </c>
      <c r="O244" s="188"/>
      <c r="P244" s="181" t="str">
        <f>IF(A243=$D$8,XIRR(R$24:R243,C$24:C243),"")</f>
        <v/>
      </c>
      <c r="Q244" s="185" t="str">
        <f t="shared" si="69"/>
        <v/>
      </c>
      <c r="R244" s="177">
        <f t="shared" si="65"/>
        <v>0</v>
      </c>
      <c r="S244" s="178" t="e">
        <f t="shared" ca="1" si="66"/>
        <v>#VALUE!</v>
      </c>
      <c r="T244" s="178" t="e">
        <f t="shared" ca="1" si="67"/>
        <v>#VALUE!</v>
      </c>
      <c r="U244" s="178" t="e">
        <f t="shared" ca="1" si="77"/>
        <v>#VALUE!</v>
      </c>
      <c r="V244" s="183" t="e">
        <f t="shared" ca="1" si="78"/>
        <v>#VALUE!</v>
      </c>
      <c r="W244" s="184" t="e">
        <f t="shared" ca="1" si="62"/>
        <v>#VALUE!</v>
      </c>
    </row>
    <row r="245" spans="1:23" hidden="1" x14ac:dyDescent="0.25">
      <c r="A245" s="179" t="str">
        <f t="shared" si="68"/>
        <v/>
      </c>
      <c r="B245" s="173" t="e">
        <f t="shared" ca="1" si="63"/>
        <v>#VALUE!</v>
      </c>
      <c r="C245" s="173" t="e">
        <f t="shared" ca="1" si="64"/>
        <v>#VALUE!</v>
      </c>
      <c r="D245" s="179" t="str">
        <f t="shared" si="72"/>
        <v/>
      </c>
      <c r="E245" s="174" t="str">
        <f t="shared" si="73"/>
        <v/>
      </c>
      <c r="F245" s="174" t="str">
        <f>IF(AND(A244="",A246=""),"",IF(A245="",ROUND(SUM($F$25:F244),2),IF(A245=$D$8,$E$24-ROUND(SUM($F$25:F244),2),ROUND($E$24/$D$8,2))))</f>
        <v/>
      </c>
      <c r="G245" s="156" t="str">
        <f>IF(A244=$D$8,ROUND(SUM($G$25:G244),2),IF(A245&gt;$F$8,"",IF(T245&lt;&gt;T244,ROUND(SUM(V245*$F$9*E244/T245,W245*$F$9*E244/T244),2),ROUND(E244*$F$9*D245/T244,2))))</f>
        <v/>
      </c>
      <c r="H245" s="174" t="str">
        <f>IF(A244=$D$8,SUM($H$25:H244),IF(A244&gt;$D$8,"",F245+G245))</f>
        <v/>
      </c>
      <c r="I245" s="185" t="str">
        <f t="shared" si="74"/>
        <v/>
      </c>
      <c r="J245" s="185" t="str">
        <f t="shared" si="75"/>
        <v/>
      </c>
      <c r="K245" s="185"/>
      <c r="L245" s="185" t="str">
        <f t="shared" si="76"/>
        <v/>
      </c>
      <c r="M245" s="174" t="str">
        <f t="shared" si="71"/>
        <v/>
      </c>
      <c r="N245" s="174" t="str">
        <f t="shared" si="70"/>
        <v/>
      </c>
      <c r="O245" s="188"/>
      <c r="P245" s="181" t="str">
        <f>IF(A244=$D$8,XIRR(R$24:R244,C$24:C244),"")</f>
        <v/>
      </c>
      <c r="Q245" s="185" t="str">
        <f t="shared" si="69"/>
        <v/>
      </c>
      <c r="R245" s="177">
        <f t="shared" si="65"/>
        <v>0</v>
      </c>
      <c r="S245" s="178" t="e">
        <f t="shared" ca="1" si="66"/>
        <v>#VALUE!</v>
      </c>
      <c r="T245" s="178" t="e">
        <f t="shared" ca="1" si="67"/>
        <v>#VALUE!</v>
      </c>
      <c r="U245" s="178" t="e">
        <f t="shared" ca="1" si="77"/>
        <v>#VALUE!</v>
      </c>
      <c r="V245" s="183" t="e">
        <f t="shared" ca="1" si="78"/>
        <v>#VALUE!</v>
      </c>
      <c r="W245" s="184" t="e">
        <f t="shared" ca="1" si="62"/>
        <v>#VALUE!</v>
      </c>
    </row>
    <row r="246" spans="1:23" hidden="1" x14ac:dyDescent="0.25">
      <c r="A246" s="179" t="str">
        <f t="shared" si="68"/>
        <v/>
      </c>
      <c r="B246" s="173" t="e">
        <f t="shared" ca="1" si="63"/>
        <v>#VALUE!</v>
      </c>
      <c r="C246" s="173" t="e">
        <f t="shared" ca="1" si="64"/>
        <v>#VALUE!</v>
      </c>
      <c r="D246" s="179" t="str">
        <f t="shared" si="72"/>
        <v/>
      </c>
      <c r="E246" s="174" t="str">
        <f t="shared" si="73"/>
        <v/>
      </c>
      <c r="F246" s="174" t="str">
        <f>IF(AND(A245="",A247=""),"",IF(A246="",ROUND(SUM($F$25:F245),2),IF(A246=$D$8,$E$24-ROUND(SUM($F$25:F245),2),ROUND($E$24/$D$8,2))))</f>
        <v/>
      </c>
      <c r="G246" s="156" t="str">
        <f>IF(A245=$D$8,ROUND(SUM($G$25:G245),2),IF(A246&gt;$F$8,"",IF(T246&lt;&gt;T245,ROUND(SUM(V246*$F$9*E245/T246,W246*$F$9*E245/T245),2),ROUND(E245*$F$9*D246/T245,2))))</f>
        <v/>
      </c>
      <c r="H246" s="174" t="str">
        <f>IF(A245=$D$8,SUM($H$25:H245),IF(A245&gt;$D$8,"",F246+G246))</f>
        <v/>
      </c>
      <c r="I246" s="185" t="str">
        <f t="shared" si="74"/>
        <v/>
      </c>
      <c r="J246" s="185" t="str">
        <f t="shared" si="75"/>
        <v/>
      </c>
      <c r="K246" s="185"/>
      <c r="L246" s="185" t="str">
        <f t="shared" si="76"/>
        <v/>
      </c>
      <c r="M246" s="174" t="str">
        <f t="shared" si="71"/>
        <v/>
      </c>
      <c r="N246" s="174" t="str">
        <f t="shared" si="70"/>
        <v/>
      </c>
      <c r="O246" s="188"/>
      <c r="P246" s="181" t="str">
        <f>IF(A245=$D$8,XIRR(R$24:R245,C$24:C245),"")</f>
        <v/>
      </c>
      <c r="Q246" s="185" t="str">
        <f t="shared" si="69"/>
        <v/>
      </c>
      <c r="R246" s="177">
        <f t="shared" si="65"/>
        <v>0</v>
      </c>
      <c r="S246" s="178" t="e">
        <f t="shared" ca="1" si="66"/>
        <v>#VALUE!</v>
      </c>
      <c r="T246" s="178" t="e">
        <f t="shared" ca="1" si="67"/>
        <v>#VALUE!</v>
      </c>
      <c r="U246" s="178" t="e">
        <f t="shared" ca="1" si="77"/>
        <v>#VALUE!</v>
      </c>
      <c r="V246" s="183" t="e">
        <f t="shared" ca="1" si="78"/>
        <v>#VALUE!</v>
      </c>
      <c r="W246" s="184" t="e">
        <f t="shared" ca="1" si="62"/>
        <v>#VALUE!</v>
      </c>
    </row>
    <row r="247" spans="1:23" hidden="1" x14ac:dyDescent="0.25">
      <c r="A247" s="179" t="str">
        <f t="shared" si="68"/>
        <v/>
      </c>
      <c r="B247" s="173" t="e">
        <f t="shared" ca="1" si="63"/>
        <v>#VALUE!</v>
      </c>
      <c r="C247" s="173" t="e">
        <f t="shared" ca="1" si="64"/>
        <v>#VALUE!</v>
      </c>
      <c r="D247" s="179" t="str">
        <f t="shared" si="72"/>
        <v/>
      </c>
      <c r="E247" s="174" t="str">
        <f t="shared" si="73"/>
        <v/>
      </c>
      <c r="F247" s="174" t="str">
        <f>IF(AND(A246="",A248=""),"",IF(A247="",ROUND(SUM($F$25:F246),2),IF(A247=$D$8,$E$24-ROUND(SUM($F$25:F246),2),ROUND($E$24/$D$8,2))))</f>
        <v/>
      </c>
      <c r="G247" s="156" t="str">
        <f>IF(A246=$D$8,ROUND(SUM($G$25:G246),2),IF(A247&gt;$F$8,"",IF(T247&lt;&gt;T246,ROUND(SUM(V247*$F$9*E246/T247,W247*$F$9*E246/T246),2),ROUND(E246*$F$9*D247/T246,2))))</f>
        <v/>
      </c>
      <c r="H247" s="174" t="str">
        <f>IF(A246=$D$8,SUM($H$25:H246),IF(A246&gt;$D$8,"",F247+G247))</f>
        <v/>
      </c>
      <c r="I247" s="185" t="str">
        <f t="shared" si="74"/>
        <v/>
      </c>
      <c r="J247" s="185" t="str">
        <f t="shared" si="75"/>
        <v/>
      </c>
      <c r="K247" s="185"/>
      <c r="L247" s="185" t="str">
        <f t="shared" si="76"/>
        <v/>
      </c>
      <c r="M247" s="174" t="str">
        <f t="shared" si="71"/>
        <v/>
      </c>
      <c r="N247" s="174" t="str">
        <f t="shared" si="70"/>
        <v/>
      </c>
      <c r="O247" s="188"/>
      <c r="P247" s="181" t="str">
        <f>IF(A246=$D$8,XIRR(R$24:R246,C$24:C246),"")</f>
        <v/>
      </c>
      <c r="Q247" s="185" t="str">
        <f t="shared" si="69"/>
        <v/>
      </c>
      <c r="R247" s="177">
        <f t="shared" si="65"/>
        <v>0</v>
      </c>
      <c r="S247" s="178" t="e">
        <f t="shared" ca="1" si="66"/>
        <v>#VALUE!</v>
      </c>
      <c r="T247" s="178" t="e">
        <f t="shared" ca="1" si="67"/>
        <v>#VALUE!</v>
      </c>
      <c r="U247" s="178" t="e">
        <f t="shared" ca="1" si="77"/>
        <v>#VALUE!</v>
      </c>
      <c r="V247" s="183" t="e">
        <f t="shared" ca="1" si="78"/>
        <v>#VALUE!</v>
      </c>
      <c r="W247" s="184" t="e">
        <f t="shared" ca="1" si="62"/>
        <v>#VALUE!</v>
      </c>
    </row>
    <row r="248" spans="1:23" hidden="1" x14ac:dyDescent="0.25">
      <c r="A248" s="179" t="str">
        <f t="shared" si="68"/>
        <v/>
      </c>
      <c r="B248" s="173" t="e">
        <f t="shared" ca="1" si="63"/>
        <v>#VALUE!</v>
      </c>
      <c r="C248" s="173" t="e">
        <f t="shared" ca="1" si="64"/>
        <v>#VALUE!</v>
      </c>
      <c r="D248" s="179" t="str">
        <f t="shared" si="72"/>
        <v/>
      </c>
      <c r="E248" s="174" t="str">
        <f t="shared" si="73"/>
        <v/>
      </c>
      <c r="F248" s="174" t="str">
        <f>IF(AND(A247="",A249=""),"",IF(A248="",ROUND(SUM($F$25:F247),2),IF(A248=$D$8,$E$24-ROUND(SUM($F$25:F247),2),ROUND($E$24/$D$8,2))))</f>
        <v/>
      </c>
      <c r="G248" s="156" t="str">
        <f>IF(A247=$D$8,ROUND(SUM($G$25:G247),2),IF(A248&gt;$F$8,"",IF(T248&lt;&gt;T247,ROUND(SUM(V248*$F$9*E247/T248,W248*$F$9*E247/T247),2),ROUND(E247*$F$9*D248/T247,2))))</f>
        <v/>
      </c>
      <c r="H248" s="174" t="str">
        <f>IF(A247=$D$8,SUM($H$25:H247),IF(A247&gt;$D$8,"",F248+G248))</f>
        <v/>
      </c>
      <c r="I248" s="185" t="str">
        <f t="shared" si="74"/>
        <v/>
      </c>
      <c r="J248" s="185" t="str">
        <f t="shared" si="75"/>
        <v/>
      </c>
      <c r="K248" s="185"/>
      <c r="L248" s="185" t="str">
        <f t="shared" si="76"/>
        <v/>
      </c>
      <c r="M248" s="174" t="str">
        <f t="shared" si="71"/>
        <v/>
      </c>
      <c r="N248" s="174" t="str">
        <f t="shared" si="70"/>
        <v/>
      </c>
      <c r="O248" s="188"/>
      <c r="P248" s="181" t="str">
        <f>IF(A247=$D$8,XIRR(R$24:R247,C$24:C247),"")</f>
        <v/>
      </c>
      <c r="Q248" s="185" t="str">
        <f t="shared" si="69"/>
        <v/>
      </c>
      <c r="R248" s="177">
        <f t="shared" si="65"/>
        <v>0</v>
      </c>
      <c r="S248" s="178" t="e">
        <f t="shared" ca="1" si="66"/>
        <v>#VALUE!</v>
      </c>
      <c r="T248" s="178" t="e">
        <f t="shared" ca="1" si="67"/>
        <v>#VALUE!</v>
      </c>
      <c r="U248" s="178" t="e">
        <f t="shared" ca="1" si="77"/>
        <v>#VALUE!</v>
      </c>
      <c r="V248" s="183" t="e">
        <f t="shared" ca="1" si="78"/>
        <v>#VALUE!</v>
      </c>
      <c r="W248" s="184" t="e">
        <f t="shared" ca="1" si="62"/>
        <v>#VALUE!</v>
      </c>
    </row>
    <row r="249" spans="1:23" hidden="1" x14ac:dyDescent="0.25">
      <c r="A249" s="179" t="str">
        <f t="shared" si="68"/>
        <v/>
      </c>
      <c r="B249" s="173" t="e">
        <f t="shared" ca="1" si="63"/>
        <v>#VALUE!</v>
      </c>
      <c r="C249" s="173" t="e">
        <f t="shared" ca="1" si="64"/>
        <v>#VALUE!</v>
      </c>
      <c r="D249" s="179" t="str">
        <f t="shared" si="72"/>
        <v/>
      </c>
      <c r="E249" s="174" t="str">
        <f t="shared" si="73"/>
        <v/>
      </c>
      <c r="F249" s="174" t="str">
        <f>IF(AND(A248="",A250=""),"",IF(A249="",ROUND(SUM($F$25:F248),2),IF(A249=$D$8,$E$24-ROUND(SUM($F$25:F248),2),ROUND($E$24/$D$8,2))))</f>
        <v/>
      </c>
      <c r="G249" s="156" t="str">
        <f>IF(A248=$D$8,ROUND(SUM($G$25:G248),2),IF(A249&gt;$F$8,"",IF(T249&lt;&gt;T248,ROUND(SUM(V249*$F$9*E248/T249,W249*$F$9*E248/T248),2),ROUND(E248*$F$9*D249/T248,2))))</f>
        <v/>
      </c>
      <c r="H249" s="174" t="str">
        <f>IF(A248=$D$8,SUM($H$25:H248),IF(A248&gt;$D$8,"",F249+G249))</f>
        <v/>
      </c>
      <c r="I249" s="185" t="str">
        <f t="shared" si="74"/>
        <v/>
      </c>
      <c r="J249" s="185" t="str">
        <f t="shared" si="75"/>
        <v/>
      </c>
      <c r="K249" s="185"/>
      <c r="L249" s="185" t="str">
        <f t="shared" si="76"/>
        <v/>
      </c>
      <c r="M249" s="174" t="str">
        <f t="shared" si="71"/>
        <v/>
      </c>
      <c r="N249" s="174" t="str">
        <f t="shared" si="70"/>
        <v/>
      </c>
      <c r="O249" s="188"/>
      <c r="P249" s="181" t="str">
        <f>IF(A248=$D$8,XIRR(R$24:R248,C$24:C248),"")</f>
        <v/>
      </c>
      <c r="Q249" s="185" t="str">
        <f t="shared" si="69"/>
        <v/>
      </c>
      <c r="R249" s="177">
        <f t="shared" si="65"/>
        <v>0</v>
      </c>
      <c r="S249" s="178" t="e">
        <f t="shared" ca="1" si="66"/>
        <v>#VALUE!</v>
      </c>
      <c r="T249" s="178" t="e">
        <f t="shared" ca="1" si="67"/>
        <v>#VALUE!</v>
      </c>
      <c r="U249" s="178" t="e">
        <f t="shared" ca="1" si="77"/>
        <v>#VALUE!</v>
      </c>
      <c r="V249" s="183" t="e">
        <f t="shared" ca="1" si="78"/>
        <v>#VALUE!</v>
      </c>
      <c r="W249" s="184" t="e">
        <f t="shared" ca="1" si="62"/>
        <v>#VALUE!</v>
      </c>
    </row>
    <row r="250" spans="1:23" hidden="1" x14ac:dyDescent="0.25">
      <c r="A250" s="179" t="str">
        <f t="shared" si="68"/>
        <v/>
      </c>
      <c r="B250" s="173" t="e">
        <f t="shared" ca="1" si="63"/>
        <v>#VALUE!</v>
      </c>
      <c r="C250" s="173" t="e">
        <f t="shared" ca="1" si="64"/>
        <v>#VALUE!</v>
      </c>
      <c r="D250" s="179" t="str">
        <f t="shared" si="72"/>
        <v/>
      </c>
      <c r="E250" s="174" t="str">
        <f t="shared" si="73"/>
        <v/>
      </c>
      <c r="F250" s="174" t="str">
        <f>IF(AND(A249="",A251=""),"",IF(A250="",ROUND(SUM($F$25:F249),2),IF(A250=$D$8,$E$24-ROUND(SUM($F$25:F249),2),ROUND($E$24/$D$8,2))))</f>
        <v/>
      </c>
      <c r="G250" s="156" t="str">
        <f>IF(A249=$D$8,ROUND(SUM($G$25:G249),2),IF(A250&gt;$F$8,"",IF(T250&lt;&gt;T249,ROUND(SUM(V250*$F$9*E249/T250,W250*$F$9*E249/T249),2),ROUND(E249*$F$9*D250/T249,2))))</f>
        <v/>
      </c>
      <c r="H250" s="174" t="str">
        <f>IF(A249=$D$8,SUM($H$25:H249),IF(A249&gt;$D$8,"",F250+G250))</f>
        <v/>
      </c>
      <c r="I250" s="185" t="str">
        <f t="shared" si="74"/>
        <v/>
      </c>
      <c r="J250" s="185" t="str">
        <f t="shared" si="75"/>
        <v/>
      </c>
      <c r="K250" s="185"/>
      <c r="L250" s="185" t="str">
        <f t="shared" si="76"/>
        <v/>
      </c>
      <c r="M250" s="174" t="str">
        <f t="shared" si="71"/>
        <v/>
      </c>
      <c r="N250" s="174" t="str">
        <f t="shared" si="70"/>
        <v/>
      </c>
      <c r="O250" s="188"/>
      <c r="P250" s="181" t="str">
        <f>IF(A249=$D$8,XIRR(R$24:R249,C$24:C249),"")</f>
        <v/>
      </c>
      <c r="Q250" s="185" t="str">
        <f t="shared" si="69"/>
        <v/>
      </c>
      <c r="R250" s="177">
        <f t="shared" si="65"/>
        <v>0</v>
      </c>
      <c r="S250" s="178" t="e">
        <f t="shared" ca="1" si="66"/>
        <v>#VALUE!</v>
      </c>
      <c r="T250" s="178" t="e">
        <f t="shared" ca="1" si="67"/>
        <v>#VALUE!</v>
      </c>
      <c r="U250" s="178" t="e">
        <f t="shared" ca="1" si="77"/>
        <v>#VALUE!</v>
      </c>
      <c r="V250" s="183" t="e">
        <f t="shared" ca="1" si="78"/>
        <v>#VALUE!</v>
      </c>
      <c r="W250" s="184" t="e">
        <f t="shared" ca="1" si="62"/>
        <v>#VALUE!</v>
      </c>
    </row>
    <row r="251" spans="1:23" hidden="1" x14ac:dyDescent="0.25">
      <c r="A251" s="179" t="str">
        <f t="shared" si="68"/>
        <v/>
      </c>
      <c r="B251" s="173" t="e">
        <f t="shared" ca="1" si="63"/>
        <v>#VALUE!</v>
      </c>
      <c r="C251" s="173" t="e">
        <f t="shared" ca="1" si="64"/>
        <v>#VALUE!</v>
      </c>
      <c r="D251" s="179" t="str">
        <f t="shared" si="72"/>
        <v/>
      </c>
      <c r="E251" s="174" t="str">
        <f t="shared" si="73"/>
        <v/>
      </c>
      <c r="F251" s="174" t="str">
        <f>IF(AND(A250="",A252=""),"",IF(A251="",ROUND(SUM($F$25:F250),2),IF(A251=$D$8,$E$24-ROUND(SUM($F$25:F250),2),ROUND($E$24/$D$8,2))))</f>
        <v/>
      </c>
      <c r="G251" s="156" t="str">
        <f>IF(A250=$D$8,ROUND(SUM($G$25:G250),2),IF(A251&gt;$F$8,"",IF(T251&lt;&gt;T250,ROUND(SUM(V251*$F$9*E250/T251,W251*$F$9*E250/T250),2),ROUND(E250*$F$9*D251/T250,2))))</f>
        <v/>
      </c>
      <c r="H251" s="174" t="str">
        <f>IF(A250=$D$8,SUM($H$25:H250),IF(A250&gt;$D$8,"",F251+G251))</f>
        <v/>
      </c>
      <c r="I251" s="185" t="str">
        <f t="shared" si="74"/>
        <v/>
      </c>
      <c r="J251" s="185" t="str">
        <f t="shared" si="75"/>
        <v/>
      </c>
      <c r="K251" s="185"/>
      <c r="L251" s="185" t="str">
        <f t="shared" si="76"/>
        <v/>
      </c>
      <c r="M251" s="174" t="str">
        <f t="shared" si="71"/>
        <v/>
      </c>
      <c r="N251" s="174" t="str">
        <f t="shared" si="70"/>
        <v/>
      </c>
      <c r="O251" s="188"/>
      <c r="P251" s="181" t="str">
        <f>IF(A250=$D$8,XIRR(R$24:R250,C$24:C250),"")</f>
        <v/>
      </c>
      <c r="Q251" s="185" t="str">
        <f t="shared" si="69"/>
        <v/>
      </c>
      <c r="R251" s="177">
        <f t="shared" si="65"/>
        <v>0</v>
      </c>
      <c r="S251" s="178" t="e">
        <f t="shared" ca="1" si="66"/>
        <v>#VALUE!</v>
      </c>
      <c r="T251" s="178" t="e">
        <f t="shared" ca="1" si="67"/>
        <v>#VALUE!</v>
      </c>
      <c r="U251" s="178" t="e">
        <f t="shared" ca="1" si="77"/>
        <v>#VALUE!</v>
      </c>
      <c r="V251" s="183" t="e">
        <f t="shared" ca="1" si="78"/>
        <v>#VALUE!</v>
      </c>
      <c r="W251" s="184" t="e">
        <f t="shared" ca="1" si="62"/>
        <v>#VALUE!</v>
      </c>
    </row>
    <row r="252" spans="1:23" hidden="1" x14ac:dyDescent="0.25">
      <c r="A252" s="179" t="str">
        <f t="shared" si="68"/>
        <v/>
      </c>
      <c r="B252" s="173" t="e">
        <f t="shared" ca="1" si="63"/>
        <v>#VALUE!</v>
      </c>
      <c r="C252" s="173" t="e">
        <f t="shared" ca="1" si="64"/>
        <v>#VALUE!</v>
      </c>
      <c r="D252" s="179" t="str">
        <f t="shared" si="72"/>
        <v/>
      </c>
      <c r="E252" s="174" t="str">
        <f t="shared" si="73"/>
        <v/>
      </c>
      <c r="F252" s="174" t="str">
        <f>IF(AND(A251="",A253=""),"",IF(A252="",ROUND(SUM($F$25:F251),2),IF(A252=$D$8,$E$24-ROUND(SUM($F$25:F251),2),ROUND($E$24/$D$8,2))))</f>
        <v/>
      </c>
      <c r="G252" s="156" t="str">
        <f>IF(A251=$D$8,ROUND(SUM($G$25:G251),2),IF(A252&gt;$F$8,"",IF(T252&lt;&gt;T251,ROUND(SUM(V252*$F$9*E251/T252,W252*$F$9*E251/T251),2),ROUND(E251*$F$9*D252/T251,2))))</f>
        <v/>
      </c>
      <c r="H252" s="174" t="str">
        <f>IF(A251=$D$8,SUM($H$25:H251),IF(A251&gt;$D$8,"",F252+G252))</f>
        <v/>
      </c>
      <c r="I252" s="185" t="str">
        <f t="shared" si="74"/>
        <v/>
      </c>
      <c r="J252" s="185" t="str">
        <f t="shared" si="75"/>
        <v/>
      </c>
      <c r="K252" s="185"/>
      <c r="L252" s="185" t="str">
        <f t="shared" si="76"/>
        <v/>
      </c>
      <c r="M252" s="174" t="str">
        <f t="shared" si="71"/>
        <v/>
      </c>
      <c r="N252" s="174" t="str">
        <f t="shared" si="70"/>
        <v/>
      </c>
      <c r="O252" s="188"/>
      <c r="P252" s="181" t="str">
        <f>IF(A251=$D$8,XIRR(R$24:R251,C$24:C251),"")</f>
        <v/>
      </c>
      <c r="Q252" s="185" t="str">
        <f t="shared" si="69"/>
        <v/>
      </c>
      <c r="R252" s="177">
        <f t="shared" si="65"/>
        <v>0</v>
      </c>
      <c r="S252" s="178" t="e">
        <f t="shared" ca="1" si="66"/>
        <v>#VALUE!</v>
      </c>
      <c r="T252" s="178" t="e">
        <f t="shared" ca="1" si="67"/>
        <v>#VALUE!</v>
      </c>
      <c r="U252" s="178" t="e">
        <f t="shared" ca="1" si="77"/>
        <v>#VALUE!</v>
      </c>
      <c r="V252" s="183" t="e">
        <f t="shared" ca="1" si="78"/>
        <v>#VALUE!</v>
      </c>
      <c r="W252" s="184" t="e">
        <f t="shared" ca="1" si="62"/>
        <v>#VALUE!</v>
      </c>
    </row>
    <row r="253" spans="1:23" hidden="1" x14ac:dyDescent="0.25">
      <c r="A253" s="179" t="str">
        <f t="shared" si="68"/>
        <v/>
      </c>
      <c r="B253" s="173" t="e">
        <f t="shared" ca="1" si="63"/>
        <v>#VALUE!</v>
      </c>
      <c r="C253" s="173" t="e">
        <f t="shared" ca="1" si="64"/>
        <v>#VALUE!</v>
      </c>
      <c r="D253" s="179" t="str">
        <f t="shared" si="72"/>
        <v/>
      </c>
      <c r="E253" s="174" t="str">
        <f t="shared" si="73"/>
        <v/>
      </c>
      <c r="F253" s="174" t="str">
        <f>IF(AND(A252="",A254=""),"",IF(A253="",ROUND(SUM($F$25:F252),2),IF(A253=$D$8,$E$24-ROUND(SUM($F$25:F252),2),ROUND($E$24/$D$8,2))))</f>
        <v/>
      </c>
      <c r="G253" s="156" t="str">
        <f>IF(A252=$D$8,ROUND(SUM($G$25:G252),2),IF(A253&gt;$F$8,"",IF(T253&lt;&gt;T252,ROUND(SUM(V253*$F$9*E252/T253,W253*$F$9*E252/T252),2),ROUND(E252*$F$9*D253/T252,2))))</f>
        <v/>
      </c>
      <c r="H253" s="174" t="str">
        <f>IF(A252=$D$8,SUM($H$25:H252),IF(A252&gt;$D$8,"",F253+G253))</f>
        <v/>
      </c>
      <c r="I253" s="185" t="str">
        <f t="shared" si="74"/>
        <v/>
      </c>
      <c r="J253" s="185" t="str">
        <f t="shared" si="75"/>
        <v/>
      </c>
      <c r="K253" s="185" t="str">
        <f>IF($F$8&gt;228,($O$8+$O$10),IF($A$252=$F$8,$K$24*$G$8,""))</f>
        <v/>
      </c>
      <c r="L253" s="185" t="str">
        <f t="shared" si="76"/>
        <v/>
      </c>
      <c r="M253" s="174" t="str">
        <f t="shared" si="71"/>
        <v/>
      </c>
      <c r="N253" s="185" t="str">
        <f>IF($F$8&gt;228,($N$14),IF(A252=$F$8,N241+N229+N217+N205+N193+N181+N169+N157+N145+N133+N121+N109+N97+N85+N73+N61+N49+N37+N24,""))</f>
        <v/>
      </c>
      <c r="O253" s="188"/>
      <c r="P253" s="181" t="str">
        <f>IF(A252=$D$8,XIRR(R$24:R252,C$24:C252),"")</f>
        <v/>
      </c>
      <c r="Q253" s="185" t="str">
        <f t="shared" si="69"/>
        <v/>
      </c>
      <c r="R253" s="177">
        <f t="shared" si="65"/>
        <v>0</v>
      </c>
      <c r="S253" s="178" t="e">
        <f t="shared" ca="1" si="66"/>
        <v>#VALUE!</v>
      </c>
      <c r="T253" s="178" t="e">
        <f t="shared" ca="1" si="67"/>
        <v>#VALUE!</v>
      </c>
      <c r="U253" s="178" t="e">
        <f t="shared" ca="1" si="77"/>
        <v>#VALUE!</v>
      </c>
      <c r="V253" s="183" t="e">
        <f t="shared" ca="1" si="78"/>
        <v>#VALUE!</v>
      </c>
      <c r="W253" s="184" t="e">
        <f t="shared" ca="1" si="62"/>
        <v>#VALUE!</v>
      </c>
    </row>
    <row r="254" spans="1:23" hidden="1" x14ac:dyDescent="0.25">
      <c r="A254" s="179" t="str">
        <f t="shared" si="68"/>
        <v/>
      </c>
      <c r="B254" s="173" t="e">
        <f t="shared" ca="1" si="63"/>
        <v>#VALUE!</v>
      </c>
      <c r="C254" s="173" t="e">
        <f t="shared" ca="1" si="64"/>
        <v>#VALUE!</v>
      </c>
      <c r="D254" s="179" t="str">
        <f t="shared" si="72"/>
        <v/>
      </c>
      <c r="E254" s="174" t="str">
        <f t="shared" si="73"/>
        <v/>
      </c>
      <c r="F254" s="174" t="str">
        <f>IF(AND(A253="",A255=""),"",IF(A254="",ROUND(SUM($F$25:F253),2),IF(A254=$D$8,$E$24-ROUND(SUM($F$25:F253),2),ROUND($E$24/$D$8,2))))</f>
        <v/>
      </c>
      <c r="G254" s="156" t="str">
        <f>IF(A253=$D$8,ROUND(SUM($G$25:G253),2),IF(A254&gt;$F$8,"",IF(T254&lt;&gt;T253,ROUND(SUM(V254*$F$9*E253/T254,W254*$F$9*E253/T253),2),ROUND(E253*$F$9*D254/T253,2))))</f>
        <v/>
      </c>
      <c r="H254" s="174" t="str">
        <f>IF(A253=$D$8,SUM($H$25:H253),IF(A253&gt;$D$8,"",F254+G254))</f>
        <v/>
      </c>
      <c r="I254" s="185" t="str">
        <f t="shared" si="74"/>
        <v/>
      </c>
      <c r="J254" s="185" t="str">
        <f t="shared" si="75"/>
        <v/>
      </c>
      <c r="K254" s="185" t="str">
        <f t="shared" ref="K254:K264" si="79">IF(A253=$F$8,$K$24,"")</f>
        <v/>
      </c>
      <c r="L254" s="185" t="str">
        <f t="shared" si="76"/>
        <v/>
      </c>
      <c r="M254" s="174" t="str">
        <f t="shared" si="71"/>
        <v/>
      </c>
      <c r="N254" s="174" t="str">
        <f t="shared" si="70"/>
        <v/>
      </c>
      <c r="O254" s="188"/>
      <c r="P254" s="181" t="str">
        <f>IF(A253=$D$8,XIRR(R$24:R253,C$24:C253),"")</f>
        <v/>
      </c>
      <c r="Q254" s="185" t="str">
        <f t="shared" si="69"/>
        <v/>
      </c>
      <c r="R254" s="177">
        <f t="shared" si="65"/>
        <v>0</v>
      </c>
      <c r="S254" s="178" t="e">
        <f t="shared" ca="1" si="66"/>
        <v>#VALUE!</v>
      </c>
      <c r="T254" s="178" t="e">
        <f t="shared" ca="1" si="67"/>
        <v>#VALUE!</v>
      </c>
      <c r="U254" s="178" t="e">
        <f t="shared" ca="1" si="77"/>
        <v>#VALUE!</v>
      </c>
      <c r="V254" s="183" t="e">
        <f t="shared" ca="1" si="78"/>
        <v>#VALUE!</v>
      </c>
      <c r="W254" s="184" t="e">
        <f t="shared" ca="1" si="62"/>
        <v>#VALUE!</v>
      </c>
    </row>
    <row r="255" spans="1:23" hidden="1" x14ac:dyDescent="0.25">
      <c r="A255" s="179" t="str">
        <f t="shared" si="68"/>
        <v/>
      </c>
      <c r="B255" s="173" t="e">
        <f t="shared" ca="1" si="63"/>
        <v>#VALUE!</v>
      </c>
      <c r="C255" s="173" t="e">
        <f t="shared" ca="1" si="64"/>
        <v>#VALUE!</v>
      </c>
      <c r="D255" s="179" t="str">
        <f t="shared" si="72"/>
        <v/>
      </c>
      <c r="E255" s="174" t="str">
        <f t="shared" si="73"/>
        <v/>
      </c>
      <c r="F255" s="174" t="str">
        <f>IF(AND(A254="",A256=""),"",IF(A255="",ROUND(SUM($F$25:F254),2),IF(A255=$D$8,$E$24-ROUND(SUM($F$25:F254),2),ROUND($E$24/$D$8,2))))</f>
        <v/>
      </c>
      <c r="G255" s="156" t="str">
        <f>IF(A254=$D$8,ROUND(SUM($G$25:G254),2),IF(A255&gt;$F$8,"",IF(T255&lt;&gt;T254,ROUND(SUM(V255*$F$9*E254/T255,W255*$F$9*E254/T254),2),ROUND(E254*$F$9*D255/T254,2))))</f>
        <v/>
      </c>
      <c r="H255" s="174" t="str">
        <f>IF(A254=$D$8,SUM($H$25:H254),IF(A254&gt;$D$8,"",F255+G255))</f>
        <v/>
      </c>
      <c r="I255" s="185" t="str">
        <f t="shared" si="74"/>
        <v/>
      </c>
      <c r="J255" s="185" t="str">
        <f t="shared" si="75"/>
        <v/>
      </c>
      <c r="K255" s="185" t="str">
        <f t="shared" si="79"/>
        <v/>
      </c>
      <c r="L255" s="185" t="str">
        <f t="shared" si="76"/>
        <v/>
      </c>
      <c r="M255" s="174" t="str">
        <f t="shared" si="71"/>
        <v/>
      </c>
      <c r="N255" s="174" t="str">
        <f t="shared" si="70"/>
        <v/>
      </c>
      <c r="O255" s="188"/>
      <c r="P255" s="181" t="str">
        <f>IF(A254=$D$8,XIRR(R$24:R254,C$24:C254),"")</f>
        <v/>
      </c>
      <c r="Q255" s="185" t="str">
        <f t="shared" si="69"/>
        <v/>
      </c>
      <c r="R255" s="177">
        <f t="shared" si="65"/>
        <v>0</v>
      </c>
      <c r="S255" s="178" t="e">
        <f t="shared" ca="1" si="66"/>
        <v>#VALUE!</v>
      </c>
      <c r="T255" s="178" t="e">
        <f t="shared" ca="1" si="67"/>
        <v>#VALUE!</v>
      </c>
      <c r="U255" s="178" t="e">
        <f t="shared" ca="1" si="77"/>
        <v>#VALUE!</v>
      </c>
      <c r="V255" s="183" t="e">
        <f t="shared" ca="1" si="78"/>
        <v>#VALUE!</v>
      </c>
      <c r="W255" s="184" t="e">
        <f t="shared" ca="1" si="62"/>
        <v>#VALUE!</v>
      </c>
    </row>
    <row r="256" spans="1:23" hidden="1" x14ac:dyDescent="0.25">
      <c r="A256" s="179" t="str">
        <f t="shared" si="68"/>
        <v/>
      </c>
      <c r="B256" s="173" t="e">
        <f t="shared" ca="1" si="63"/>
        <v>#VALUE!</v>
      </c>
      <c r="C256" s="173" t="e">
        <f t="shared" ca="1" si="64"/>
        <v>#VALUE!</v>
      </c>
      <c r="D256" s="179" t="str">
        <f t="shared" si="72"/>
        <v/>
      </c>
      <c r="E256" s="174" t="str">
        <f t="shared" si="73"/>
        <v/>
      </c>
      <c r="F256" s="174" t="str">
        <f>IF(AND(A255="",A257=""),"",IF(A256="",ROUND(SUM($F$25:F255),2),IF(A256=$D$8,$E$24-ROUND(SUM($F$25:F255),2),ROUND($E$24/$D$8,2))))</f>
        <v/>
      </c>
      <c r="G256" s="156" t="str">
        <f>IF(A255=$D$8,ROUND(SUM($G$25:G255),2),IF(A256&gt;$F$8,"",IF(T256&lt;&gt;T255,ROUND(SUM(V256*$F$9*E255/T256,W256*$F$9*E255/T255),2),ROUND(E255*$F$9*D256/T255,2))))</f>
        <v/>
      </c>
      <c r="H256" s="174" t="str">
        <f>IF(A255=$D$8,SUM($H$25:H255),IF(A255&gt;$D$8,"",F256+G256))</f>
        <v/>
      </c>
      <c r="I256" s="185" t="str">
        <f t="shared" si="74"/>
        <v/>
      </c>
      <c r="J256" s="185" t="str">
        <f t="shared" si="75"/>
        <v/>
      </c>
      <c r="K256" s="185" t="str">
        <f t="shared" si="79"/>
        <v/>
      </c>
      <c r="L256" s="185" t="str">
        <f t="shared" si="76"/>
        <v/>
      </c>
      <c r="M256" s="174" t="str">
        <f t="shared" si="71"/>
        <v/>
      </c>
      <c r="N256" s="174" t="str">
        <f t="shared" si="70"/>
        <v/>
      </c>
      <c r="O256" s="188"/>
      <c r="P256" s="181" t="str">
        <f>IF(A255=$D$8,XIRR(R$24:R255,C$24:C255),"")</f>
        <v/>
      </c>
      <c r="Q256" s="185" t="str">
        <f t="shared" si="69"/>
        <v/>
      </c>
      <c r="R256" s="177">
        <f t="shared" si="65"/>
        <v>0</v>
      </c>
      <c r="S256" s="178" t="e">
        <f t="shared" ca="1" si="66"/>
        <v>#VALUE!</v>
      </c>
      <c r="T256" s="178" t="e">
        <f t="shared" ca="1" si="67"/>
        <v>#VALUE!</v>
      </c>
      <c r="U256" s="178" t="e">
        <f t="shared" ca="1" si="77"/>
        <v>#VALUE!</v>
      </c>
      <c r="V256" s="183" t="e">
        <f t="shared" ca="1" si="78"/>
        <v>#VALUE!</v>
      </c>
      <c r="W256" s="184" t="e">
        <f t="shared" ca="1" si="62"/>
        <v>#VALUE!</v>
      </c>
    </row>
    <row r="257" spans="1:23" hidden="1" x14ac:dyDescent="0.25">
      <c r="A257" s="179" t="str">
        <f t="shared" si="68"/>
        <v/>
      </c>
      <c r="B257" s="173" t="e">
        <f t="shared" ca="1" si="63"/>
        <v>#VALUE!</v>
      </c>
      <c r="C257" s="173" t="e">
        <f t="shared" ca="1" si="64"/>
        <v>#VALUE!</v>
      </c>
      <c r="D257" s="179" t="str">
        <f t="shared" si="72"/>
        <v/>
      </c>
      <c r="E257" s="174" t="str">
        <f t="shared" si="73"/>
        <v/>
      </c>
      <c r="F257" s="174" t="str">
        <f>IF(AND(A256="",A258=""),"",IF(A257="",ROUND(SUM($F$25:F256),2),IF(A257=$D$8,$E$24-ROUND(SUM($F$25:F256),2),ROUND($E$24/$D$8,2))))</f>
        <v/>
      </c>
      <c r="G257" s="156" t="str">
        <f>IF(A256=$D$8,ROUND(SUM($G$25:G256),2),IF(A257&gt;$F$8,"",IF(T257&lt;&gt;T256,ROUND(SUM(V257*$F$9*E256/T257,W257*$F$9*E256/T256),2),ROUND(E256*$F$9*D257/T256,2))))</f>
        <v/>
      </c>
      <c r="H257" s="174" t="str">
        <f>IF(A256=$D$8,SUM($H$25:H256),IF(A256&gt;$D$8,"",F257+G257))</f>
        <v/>
      </c>
      <c r="I257" s="185" t="str">
        <f t="shared" si="74"/>
        <v/>
      </c>
      <c r="J257" s="185" t="str">
        <f t="shared" si="75"/>
        <v/>
      </c>
      <c r="K257" s="185" t="str">
        <f t="shared" si="79"/>
        <v/>
      </c>
      <c r="L257" s="185" t="str">
        <f t="shared" si="76"/>
        <v/>
      </c>
      <c r="M257" s="174" t="str">
        <f t="shared" si="71"/>
        <v/>
      </c>
      <c r="N257" s="174" t="str">
        <f t="shared" si="70"/>
        <v/>
      </c>
      <c r="O257" s="188"/>
      <c r="P257" s="181" t="str">
        <f>IF(A256=$D$8,XIRR(R$24:R256,C$24:C256),"")</f>
        <v/>
      </c>
      <c r="Q257" s="185" t="str">
        <f t="shared" si="69"/>
        <v/>
      </c>
      <c r="R257" s="177">
        <f t="shared" si="65"/>
        <v>0</v>
      </c>
      <c r="S257" s="178" t="e">
        <f t="shared" ca="1" si="66"/>
        <v>#VALUE!</v>
      </c>
      <c r="T257" s="178" t="e">
        <f t="shared" ca="1" si="67"/>
        <v>#VALUE!</v>
      </c>
      <c r="U257" s="178" t="e">
        <f t="shared" ca="1" si="77"/>
        <v>#VALUE!</v>
      </c>
      <c r="V257" s="183" t="e">
        <f t="shared" ca="1" si="78"/>
        <v>#VALUE!</v>
      </c>
      <c r="W257" s="184" t="e">
        <f t="shared" ca="1" si="62"/>
        <v>#VALUE!</v>
      </c>
    </row>
    <row r="258" spans="1:23" hidden="1" x14ac:dyDescent="0.25">
      <c r="A258" s="179" t="str">
        <f t="shared" si="68"/>
        <v/>
      </c>
      <c r="B258" s="173" t="e">
        <f t="shared" ca="1" si="63"/>
        <v>#VALUE!</v>
      </c>
      <c r="C258" s="173" t="e">
        <f t="shared" ca="1" si="64"/>
        <v>#VALUE!</v>
      </c>
      <c r="D258" s="179" t="str">
        <f t="shared" si="72"/>
        <v/>
      </c>
      <c r="E258" s="174" t="str">
        <f t="shared" si="73"/>
        <v/>
      </c>
      <c r="F258" s="174" t="str">
        <f>IF(AND(A257="",A259=""),"",IF(A258="",ROUND(SUM($F$25:F257),2),IF(A258=$D$8,$E$24-ROUND(SUM($F$25:F257),2),ROUND($E$24/$D$8,2))))</f>
        <v/>
      </c>
      <c r="G258" s="156" t="str">
        <f>IF(A257=$D$8,ROUND(SUM($G$25:G257),2),IF(A258&gt;$F$8,"",IF(T258&lt;&gt;T257,ROUND(SUM(V258*$F$9*E257/T258,W258*$F$9*E257/T257),2),ROUND(E257*$F$9*D258/T257,2))))</f>
        <v/>
      </c>
      <c r="H258" s="174" t="str">
        <f>IF(A257=$D$8,SUM($H$25:H257),IF(A257&gt;$D$8,"",F258+G258))</f>
        <v/>
      </c>
      <c r="I258" s="185" t="str">
        <f t="shared" si="74"/>
        <v/>
      </c>
      <c r="J258" s="185" t="str">
        <f t="shared" si="75"/>
        <v/>
      </c>
      <c r="K258" s="185" t="str">
        <f t="shared" si="79"/>
        <v/>
      </c>
      <c r="L258" s="185" t="str">
        <f t="shared" si="76"/>
        <v/>
      </c>
      <c r="M258" s="174" t="str">
        <f t="shared" si="71"/>
        <v/>
      </c>
      <c r="N258" s="174" t="str">
        <f t="shared" si="70"/>
        <v/>
      </c>
      <c r="O258" s="188"/>
      <c r="P258" s="181" t="str">
        <f>IF(A257=$D$8,XIRR(R$24:R257,C$24:C257),"")</f>
        <v/>
      </c>
      <c r="Q258" s="185" t="str">
        <f t="shared" si="69"/>
        <v/>
      </c>
      <c r="R258" s="177">
        <f t="shared" si="65"/>
        <v>0</v>
      </c>
      <c r="S258" s="178" t="e">
        <f t="shared" ca="1" si="66"/>
        <v>#VALUE!</v>
      </c>
      <c r="T258" s="178" t="e">
        <f t="shared" ca="1" si="67"/>
        <v>#VALUE!</v>
      </c>
      <c r="U258" s="178" t="e">
        <f t="shared" ca="1" si="77"/>
        <v>#VALUE!</v>
      </c>
      <c r="V258" s="183" t="e">
        <f t="shared" ca="1" si="78"/>
        <v>#VALUE!</v>
      </c>
      <c r="W258" s="184" t="e">
        <f t="shared" ca="1" si="62"/>
        <v>#VALUE!</v>
      </c>
    </row>
    <row r="259" spans="1:23" hidden="1" x14ac:dyDescent="0.25">
      <c r="A259" s="179" t="str">
        <f t="shared" si="68"/>
        <v/>
      </c>
      <c r="B259" s="173" t="e">
        <f t="shared" ca="1" si="63"/>
        <v>#VALUE!</v>
      </c>
      <c r="C259" s="173" t="e">
        <f t="shared" ca="1" si="64"/>
        <v>#VALUE!</v>
      </c>
      <c r="D259" s="179" t="str">
        <f t="shared" si="72"/>
        <v/>
      </c>
      <c r="E259" s="174" t="str">
        <f t="shared" si="73"/>
        <v/>
      </c>
      <c r="F259" s="174" t="str">
        <f>IF(AND(A258="",A260=""),"",IF(A259="",ROUND(SUM($F$25:F258),2),IF(A259=$D$8,$E$24-ROUND(SUM($F$25:F258),2),ROUND($E$24/$D$8,2))))</f>
        <v/>
      </c>
      <c r="G259" s="156" t="str">
        <f>IF(A258=$D$8,ROUND(SUM($G$25:G258),2),IF(A259&gt;$F$8,"",IF(T259&lt;&gt;T258,ROUND(SUM(V259*$F$9*E258/T259,W259*$F$9*E258/T258),2),ROUND(E258*$F$9*D259/T258,2))))</f>
        <v/>
      </c>
      <c r="H259" s="174" t="str">
        <f>IF(A258=$D$8,SUM($H$25:H258),IF(A258&gt;$D$8,"",F259+G259))</f>
        <v/>
      </c>
      <c r="I259" s="185" t="str">
        <f t="shared" si="74"/>
        <v/>
      </c>
      <c r="J259" s="185" t="str">
        <f t="shared" si="75"/>
        <v/>
      </c>
      <c r="K259" s="185" t="str">
        <f t="shared" si="79"/>
        <v/>
      </c>
      <c r="L259" s="185" t="str">
        <f t="shared" si="76"/>
        <v/>
      </c>
      <c r="M259" s="174" t="str">
        <f t="shared" si="71"/>
        <v/>
      </c>
      <c r="N259" s="174" t="str">
        <f t="shared" si="70"/>
        <v/>
      </c>
      <c r="O259" s="188"/>
      <c r="P259" s="181" t="str">
        <f>IF(A258=$D$8,XIRR(R$24:R258,C$24:C258),"")</f>
        <v/>
      </c>
      <c r="Q259" s="185" t="str">
        <f t="shared" si="69"/>
        <v/>
      </c>
      <c r="R259" s="177">
        <f t="shared" si="65"/>
        <v>0</v>
      </c>
      <c r="S259" s="178" t="e">
        <f t="shared" ca="1" si="66"/>
        <v>#VALUE!</v>
      </c>
      <c r="T259" s="178" t="e">
        <f t="shared" ca="1" si="67"/>
        <v>#VALUE!</v>
      </c>
      <c r="U259" s="178" t="e">
        <f t="shared" ca="1" si="77"/>
        <v>#VALUE!</v>
      </c>
      <c r="V259" s="183" t="e">
        <f t="shared" ca="1" si="78"/>
        <v>#VALUE!</v>
      </c>
      <c r="W259" s="184" t="e">
        <f t="shared" ca="1" si="62"/>
        <v>#VALUE!</v>
      </c>
    </row>
    <row r="260" spans="1:23" hidden="1" x14ac:dyDescent="0.25">
      <c r="A260" s="179" t="str">
        <f t="shared" si="68"/>
        <v/>
      </c>
      <c r="B260" s="173" t="e">
        <f t="shared" ca="1" si="63"/>
        <v>#VALUE!</v>
      </c>
      <c r="C260" s="173" t="e">
        <f t="shared" ca="1" si="64"/>
        <v>#VALUE!</v>
      </c>
      <c r="D260" s="179" t="str">
        <f t="shared" si="72"/>
        <v/>
      </c>
      <c r="E260" s="174" t="str">
        <f t="shared" si="73"/>
        <v/>
      </c>
      <c r="F260" s="174" t="str">
        <f>IF(AND(A259="",A261=""),"",IF(A260="",ROUND(SUM($F$25:F259),2),IF(A260=$D$8,$E$24-ROUND(SUM($F$25:F259),2),ROUND($E$24/$D$8,2))))</f>
        <v/>
      </c>
      <c r="G260" s="156" t="str">
        <f>IF(A259=$D$8,ROUND(SUM($G$25:G259),2),IF(A260&gt;$F$8,"",IF(T260&lt;&gt;T259,ROUND(SUM(V260*$F$9*E259/T260,W260*$F$9*E259/T259),2),ROUND(E259*$F$9*D260/T259,2))))</f>
        <v/>
      </c>
      <c r="H260" s="174" t="str">
        <f>IF(A259=$D$8,SUM($H$25:H259),IF(A259&gt;$D$8,"",F260+G260))</f>
        <v/>
      </c>
      <c r="I260" s="185" t="str">
        <f t="shared" si="74"/>
        <v/>
      </c>
      <c r="J260" s="185" t="str">
        <f t="shared" si="75"/>
        <v/>
      </c>
      <c r="K260" s="185" t="str">
        <f t="shared" si="79"/>
        <v/>
      </c>
      <c r="L260" s="185" t="str">
        <f t="shared" si="76"/>
        <v/>
      </c>
      <c r="M260" s="174" t="str">
        <f t="shared" si="71"/>
        <v/>
      </c>
      <c r="N260" s="174" t="str">
        <f t="shared" si="70"/>
        <v/>
      </c>
      <c r="O260" s="188"/>
      <c r="P260" s="181" t="str">
        <f>IF(A259=$D$8,XIRR(R$24:R259,C$24:C259),"")</f>
        <v/>
      </c>
      <c r="Q260" s="185" t="str">
        <f t="shared" si="69"/>
        <v/>
      </c>
      <c r="R260" s="177">
        <f t="shared" si="65"/>
        <v>0</v>
      </c>
      <c r="S260" s="178" t="e">
        <f t="shared" ca="1" si="66"/>
        <v>#VALUE!</v>
      </c>
      <c r="T260" s="178" t="e">
        <f t="shared" ca="1" si="67"/>
        <v>#VALUE!</v>
      </c>
      <c r="U260" s="178" t="e">
        <f t="shared" ca="1" si="77"/>
        <v>#VALUE!</v>
      </c>
      <c r="V260" s="183" t="e">
        <f t="shared" ca="1" si="78"/>
        <v>#VALUE!</v>
      </c>
      <c r="W260" s="184" t="e">
        <f t="shared" ca="1" si="62"/>
        <v>#VALUE!</v>
      </c>
    </row>
    <row r="261" spans="1:23" hidden="1" x14ac:dyDescent="0.25">
      <c r="A261" s="179" t="str">
        <f t="shared" si="68"/>
        <v/>
      </c>
      <c r="B261" s="173" t="e">
        <f t="shared" ca="1" si="63"/>
        <v>#VALUE!</v>
      </c>
      <c r="C261" s="173" t="e">
        <f t="shared" ca="1" si="64"/>
        <v>#VALUE!</v>
      </c>
      <c r="D261" s="179" t="str">
        <f t="shared" si="72"/>
        <v/>
      </c>
      <c r="E261" s="174" t="str">
        <f t="shared" si="73"/>
        <v/>
      </c>
      <c r="F261" s="174" t="str">
        <f>IF(AND(A260="",A262=""),"",IF(A261="",ROUND(SUM($F$25:F260),2),IF(A261=$D$8,$E$24-ROUND(SUM($F$25:F260),2),ROUND($E$24/$D$8,2))))</f>
        <v/>
      </c>
      <c r="G261" s="156" t="str">
        <f>IF(A260=$D$8,ROUND(SUM($G$25:G260),2),IF(A261&gt;$F$8,"",IF(T261&lt;&gt;T260,ROUND(SUM(V261*$F$9*E260/T261,W261*$F$9*E260/T260),2),ROUND(E260*$F$9*D261/T260,2))))</f>
        <v/>
      </c>
      <c r="H261" s="174" t="str">
        <f>IF(A260=$D$8,SUM($H$25:H260),IF(A260&gt;$D$8,"",F261+G261))</f>
        <v/>
      </c>
      <c r="I261" s="185" t="str">
        <f t="shared" si="74"/>
        <v/>
      </c>
      <c r="J261" s="185" t="str">
        <f t="shared" si="75"/>
        <v/>
      </c>
      <c r="K261" s="185" t="str">
        <f t="shared" si="79"/>
        <v/>
      </c>
      <c r="L261" s="185" t="str">
        <f t="shared" si="76"/>
        <v/>
      </c>
      <c r="M261" s="174" t="str">
        <f t="shared" si="71"/>
        <v/>
      </c>
      <c r="N261" s="174" t="str">
        <f t="shared" si="70"/>
        <v/>
      </c>
      <c r="O261" s="188"/>
      <c r="P261" s="181" t="str">
        <f>IF(A260=$D$8,XIRR(R$24:R260,C$24:C260),"")</f>
        <v/>
      </c>
      <c r="Q261" s="185" t="str">
        <f t="shared" si="69"/>
        <v/>
      </c>
      <c r="R261" s="177">
        <f t="shared" si="65"/>
        <v>0</v>
      </c>
      <c r="S261" s="178" t="e">
        <f t="shared" ca="1" si="66"/>
        <v>#VALUE!</v>
      </c>
      <c r="T261" s="178" t="e">
        <f t="shared" ca="1" si="67"/>
        <v>#VALUE!</v>
      </c>
      <c r="U261" s="178" t="e">
        <f t="shared" ca="1" si="77"/>
        <v>#VALUE!</v>
      </c>
      <c r="V261" s="183" t="e">
        <f t="shared" ca="1" si="78"/>
        <v>#VALUE!</v>
      </c>
      <c r="W261" s="184" t="e">
        <f t="shared" ca="1" si="62"/>
        <v>#VALUE!</v>
      </c>
    </row>
    <row r="262" spans="1:23" hidden="1" x14ac:dyDescent="0.25">
      <c r="A262" s="179" t="str">
        <f t="shared" si="68"/>
        <v/>
      </c>
      <c r="B262" s="173" t="e">
        <f t="shared" ca="1" si="63"/>
        <v>#VALUE!</v>
      </c>
      <c r="C262" s="173" t="e">
        <f t="shared" ca="1" si="64"/>
        <v>#VALUE!</v>
      </c>
      <c r="D262" s="179" t="str">
        <f t="shared" si="72"/>
        <v/>
      </c>
      <c r="E262" s="174" t="str">
        <f t="shared" si="73"/>
        <v/>
      </c>
      <c r="F262" s="174" t="str">
        <f>IF(AND(A261="",A263=""),"",IF(A262="",ROUND(SUM($F$25:F261),2),IF(A262=$D$8,$E$24-ROUND(SUM($F$25:F261),2),ROUND($E$24/$D$8,2))))</f>
        <v/>
      </c>
      <c r="G262" s="156" t="str">
        <f>IF(A261=$D$8,ROUND(SUM($G$25:G261),2),IF(A262&gt;$F$8,"",IF(T262&lt;&gt;T261,ROUND(SUM(V262*$F$9*E261/T262,W262*$F$9*E261/T261),2),ROUND(E261*$F$9*D262/T261,2))))</f>
        <v/>
      </c>
      <c r="H262" s="174" t="str">
        <f>IF(A261=$D$8,SUM($H$25:H261),IF(A261&gt;$D$8,"",F262+G262))</f>
        <v/>
      </c>
      <c r="I262" s="185" t="str">
        <f t="shared" si="74"/>
        <v/>
      </c>
      <c r="J262" s="185" t="str">
        <f t="shared" si="75"/>
        <v/>
      </c>
      <c r="K262" s="185" t="str">
        <f t="shared" si="79"/>
        <v/>
      </c>
      <c r="L262" s="185" t="str">
        <f t="shared" si="76"/>
        <v/>
      </c>
      <c r="M262" s="174" t="str">
        <f t="shared" si="71"/>
        <v/>
      </c>
      <c r="N262" s="174" t="str">
        <f t="shared" si="70"/>
        <v/>
      </c>
      <c r="O262" s="188"/>
      <c r="P262" s="181" t="str">
        <f>IF(A261=$D$8,XIRR(R$24:R261,C$24:C261),"")</f>
        <v/>
      </c>
      <c r="Q262" s="185" t="str">
        <f t="shared" si="69"/>
        <v/>
      </c>
      <c r="R262" s="177">
        <f t="shared" si="65"/>
        <v>0</v>
      </c>
      <c r="S262" s="178" t="e">
        <f t="shared" ca="1" si="66"/>
        <v>#VALUE!</v>
      </c>
      <c r="T262" s="178" t="e">
        <f t="shared" ca="1" si="67"/>
        <v>#VALUE!</v>
      </c>
      <c r="U262" s="178" t="e">
        <f t="shared" ca="1" si="77"/>
        <v>#VALUE!</v>
      </c>
      <c r="V262" s="183" t="e">
        <f t="shared" ca="1" si="78"/>
        <v>#VALUE!</v>
      </c>
      <c r="W262" s="184" t="e">
        <f t="shared" ca="1" si="62"/>
        <v>#VALUE!</v>
      </c>
    </row>
    <row r="263" spans="1:23" hidden="1" x14ac:dyDescent="0.25">
      <c r="A263" s="179" t="str">
        <f t="shared" si="68"/>
        <v/>
      </c>
      <c r="B263" s="173" t="e">
        <f t="shared" ca="1" si="63"/>
        <v>#VALUE!</v>
      </c>
      <c r="C263" s="173" t="e">
        <f t="shared" ca="1" si="64"/>
        <v>#VALUE!</v>
      </c>
      <c r="D263" s="179" t="str">
        <f t="shared" si="72"/>
        <v/>
      </c>
      <c r="E263" s="174" t="str">
        <f t="shared" si="73"/>
        <v/>
      </c>
      <c r="F263" s="174" t="str">
        <f>IF(AND(A262="",A264=""),"",IF(A263="",ROUND(SUM($F$25:F262),2),IF(A263=$D$8,$E$24-ROUND(SUM($F$25:F262),2),ROUND($E$24/$D$8,2))))</f>
        <v/>
      </c>
      <c r="G263" s="156" t="str">
        <f>IF(A262=$D$8,ROUND(SUM($G$25:G262),2),IF(A263&gt;$F$8,"",IF(T263&lt;&gt;T262,ROUND(SUM(V263*$F$9*E262/T263,W263*$F$9*E262/T262),2),ROUND(E262*$F$9*D263/T262,2))))</f>
        <v/>
      </c>
      <c r="H263" s="174" t="str">
        <f>IF(A262=$D$8,SUM($H$25:H262),IF(A262&gt;$D$8,"",F263+G263))</f>
        <v/>
      </c>
      <c r="I263" s="185" t="str">
        <f t="shared" si="74"/>
        <v/>
      </c>
      <c r="J263" s="185" t="str">
        <f t="shared" si="75"/>
        <v/>
      </c>
      <c r="K263" s="185" t="str">
        <f t="shared" si="79"/>
        <v/>
      </c>
      <c r="L263" s="185" t="str">
        <f t="shared" si="76"/>
        <v/>
      </c>
      <c r="M263" s="174" t="str">
        <f t="shared" si="71"/>
        <v/>
      </c>
      <c r="N263" s="174" t="str">
        <f t="shared" si="70"/>
        <v/>
      </c>
      <c r="O263" s="188"/>
      <c r="P263" s="181" t="str">
        <f>IF(A262=$D$8,XIRR(R$24:R262,C$24:C262),"")</f>
        <v/>
      </c>
      <c r="Q263" s="185" t="str">
        <f t="shared" si="69"/>
        <v/>
      </c>
      <c r="R263" s="177">
        <f t="shared" si="65"/>
        <v>0</v>
      </c>
      <c r="S263" s="178" t="e">
        <f t="shared" ca="1" si="66"/>
        <v>#VALUE!</v>
      </c>
      <c r="T263" s="178" t="e">
        <f t="shared" ca="1" si="67"/>
        <v>#VALUE!</v>
      </c>
      <c r="U263" s="178" t="e">
        <f t="shared" ca="1" si="77"/>
        <v>#VALUE!</v>
      </c>
      <c r="V263" s="183" t="e">
        <f t="shared" ca="1" si="78"/>
        <v>#VALUE!</v>
      </c>
      <c r="W263" s="184" t="e">
        <f t="shared" ca="1" si="62"/>
        <v>#VALUE!</v>
      </c>
    </row>
    <row r="264" spans="1:23" hidden="1" x14ac:dyDescent="0.25">
      <c r="A264" s="179" t="str">
        <f t="shared" si="68"/>
        <v/>
      </c>
      <c r="B264" s="173" t="e">
        <f t="shared" ca="1" si="63"/>
        <v>#VALUE!</v>
      </c>
      <c r="C264" s="173" t="e">
        <f t="shared" ca="1" si="64"/>
        <v>#VALUE!</v>
      </c>
      <c r="D264" s="179" t="str">
        <f t="shared" si="72"/>
        <v/>
      </c>
      <c r="E264" s="174" t="str">
        <f t="shared" si="73"/>
        <v/>
      </c>
      <c r="F264" s="174" t="str">
        <f>IF(AND(A263="",A265=""),"",IF(A264="",ROUND(SUM($F$25:F263),2),IF(A264=$D$8,$E$24-ROUND(SUM($F$25:F263),2),ROUND($E$24/$D$8,2))))</f>
        <v/>
      </c>
      <c r="G264" s="156" t="str">
        <f>IF(A263=$D$8,ROUND(SUM($G$25:G263),2),IF(A264&gt;$F$8,"",IF(T264&lt;&gt;T263,ROUND(SUM(V264*$F$9*E263/T264,W264*$F$9*E263/T263),2),ROUND(E263*$F$9*D264/T263,2))))</f>
        <v/>
      </c>
      <c r="H264" s="174" t="str">
        <f>IF(A263=$D$8,SUM($H$25:H263),IF(A263&gt;$D$8,"",F264+G264))</f>
        <v/>
      </c>
      <c r="I264" s="185" t="str">
        <f t="shared" si="74"/>
        <v/>
      </c>
      <c r="J264" s="185" t="str">
        <f t="shared" si="75"/>
        <v/>
      </c>
      <c r="K264" s="185" t="str">
        <f t="shared" si="79"/>
        <v/>
      </c>
      <c r="L264" s="185" t="str">
        <f t="shared" si="76"/>
        <v/>
      </c>
      <c r="M264" s="174" t="str">
        <f t="shared" si="71"/>
        <v/>
      </c>
      <c r="N264" s="174" t="str">
        <f t="shared" si="70"/>
        <v/>
      </c>
      <c r="O264" s="188"/>
      <c r="P264" s="181" t="str">
        <f>IF(A263=$D$8,XIRR(R$24:R263,C$24:C263),"")</f>
        <v/>
      </c>
      <c r="Q264" s="185" t="str">
        <f t="shared" si="69"/>
        <v/>
      </c>
      <c r="R264" s="177">
        <f t="shared" si="65"/>
        <v>0</v>
      </c>
      <c r="S264" s="178" t="e">
        <f t="shared" ca="1" si="66"/>
        <v>#VALUE!</v>
      </c>
      <c r="T264" s="178" t="e">
        <f t="shared" ca="1" si="67"/>
        <v>#VALUE!</v>
      </c>
      <c r="U264" s="178" t="e">
        <f t="shared" ca="1" si="77"/>
        <v>#VALUE!</v>
      </c>
      <c r="V264" s="183" t="e">
        <f t="shared" ca="1" si="78"/>
        <v>#VALUE!</v>
      </c>
      <c r="W264" s="184" t="e">
        <f t="shared" ca="1" si="62"/>
        <v>#VALUE!</v>
      </c>
    </row>
    <row r="265" spans="1:23" x14ac:dyDescent="0.25">
      <c r="A265" s="189" t="str">
        <f t="shared" si="68"/>
        <v/>
      </c>
      <c r="B265" s="190"/>
      <c r="C265" s="190"/>
      <c r="D265" s="190"/>
      <c r="E265" s="191" t="str">
        <f t="shared" si="73"/>
        <v/>
      </c>
      <c r="F265" s="191" t="str">
        <f>IF(AND(A264="",A266=""),"",IF(A265="",ROUND(SUM($F$25:F264),2),IF(A265=$D$8,$E$24-ROUND(SUM($F$25:F264),2),ROUND($E$24/$D$8,2))))</f>
        <v/>
      </c>
      <c r="G265" s="191" t="str">
        <f>IF(A264=$D$8,ROUND(SUM($G$25:G264),2),IF(A265&gt;$F$8,"",IF(T265&lt;&gt;T264,ROUND(SUM(V265*$F$17*E264/T265,W265*$F$17*E264/T264),2),ROUND(E264*$F$17*D265/T264,2))))</f>
        <v/>
      </c>
      <c r="H265" s="191" t="str">
        <f>IF(A264=$D$8,SUM($H$25:H264),IF(A264&gt;$D$8,"",F265+G265))</f>
        <v/>
      </c>
      <c r="I265" s="191" t="str">
        <f t="shared" si="74"/>
        <v/>
      </c>
      <c r="J265" s="191" t="str">
        <f t="shared" si="75"/>
        <v/>
      </c>
      <c r="K265" s="192" t="str">
        <f>IF($F$8&gt;240,($O$8+$O$10),IF($A$264=$F$8,$K$24*$G$8,""))</f>
        <v/>
      </c>
      <c r="L265" s="191" t="str">
        <f t="shared" si="76"/>
        <v/>
      </c>
      <c r="M265" s="191" t="str">
        <f t="shared" si="71"/>
        <v/>
      </c>
      <c r="N265" s="191" t="str">
        <f>IF($F$8&gt;240,($N$14),IF(A264=$F$8,N253+N241+N229+N217+N205+N193+N181+N169+N157+N145+N133+N121+N109+N97+N85+N73+N61+N49+N37+N24,""))</f>
        <v/>
      </c>
      <c r="O265" s="190"/>
      <c r="P265" s="193" t="str">
        <f>IF(A264=$D$8,XIRR(R$24:R264,C$24:C264),"")</f>
        <v/>
      </c>
      <c r="Q265" s="191" t="str">
        <f t="shared" si="69"/>
        <v/>
      </c>
      <c r="R265" s="177"/>
      <c r="S265" s="178" t="str">
        <f t="shared" si="66"/>
        <v/>
      </c>
    </row>
    <row r="266" spans="1:23" x14ac:dyDescent="0.25">
      <c r="A266" s="194" t="str">
        <f t="shared" si="68"/>
        <v/>
      </c>
      <c r="K266" s="195"/>
    </row>
    <row r="267" spans="1:23" x14ac:dyDescent="0.25">
      <c r="A267" s="194" t="str">
        <f t="shared" si="68"/>
        <v/>
      </c>
      <c r="K267" s="195"/>
    </row>
    <row r="268" spans="1:23" x14ac:dyDescent="0.25">
      <c r="A268" s="194" t="str">
        <f t="shared" si="68"/>
        <v/>
      </c>
      <c r="K268" s="195"/>
    </row>
    <row r="269" spans="1:23" x14ac:dyDescent="0.25">
      <c r="A269" s="194" t="str">
        <f t="shared" si="68"/>
        <v/>
      </c>
      <c r="K269" s="195"/>
    </row>
    <row r="270" spans="1:23" x14ac:dyDescent="0.25">
      <c r="A270" s="194" t="str">
        <f t="shared" si="68"/>
        <v/>
      </c>
      <c r="K270" s="195"/>
    </row>
    <row r="271" spans="1:23" x14ac:dyDescent="0.25">
      <c r="A271" s="194" t="str">
        <f t="shared" si="68"/>
        <v/>
      </c>
    </row>
    <row r="272" spans="1:23" x14ac:dyDescent="0.25">
      <c r="A272" s="194" t="str">
        <f t="shared" si="68"/>
        <v/>
      </c>
    </row>
    <row r="273" spans="1:1" x14ac:dyDescent="0.25">
      <c r="A273" s="194" t="str">
        <f t="shared" si="68"/>
        <v/>
      </c>
    </row>
    <row r="274" spans="1:1" x14ac:dyDescent="0.25">
      <c r="A274" s="194" t="str">
        <f t="shared" si="68"/>
        <v/>
      </c>
    </row>
    <row r="275" spans="1:1" x14ac:dyDescent="0.25">
      <c r="A275" s="194" t="str">
        <f t="shared" si="68"/>
        <v/>
      </c>
    </row>
    <row r="276" spans="1:1" x14ac:dyDescent="0.25">
      <c r="A276" s="194" t="str">
        <f t="shared" si="68"/>
        <v/>
      </c>
    </row>
  </sheetData>
  <sheetProtection algorithmName="SHA-512" hashValue="87T0dG+Q++OPT2p6+xqgdBmnlL+02Kh2ZvCa2Uvz68UFe11KYmtmiN0t0RhzhhhX2pEIuoQPiaYv3P5WKcEWKA==" saltValue="ZQlzeg3Hc7kjNSHV+oi77g==" spinCount="100000" sheet="1" objects="1" scenarios="1"/>
  <protectedRanges>
    <protectedRange password="C797" sqref="A27:A276 B27:B264 C109:D264 E109:F265 C85:F108 C27:H84 P22:Q23 A22:H26 M22:M265 O24:O120 G85:H265" name="Диапазон1"/>
    <protectedRange password="C797" sqref="R24" name="Диапазон1_1"/>
    <protectedRange password="C797" sqref="R25:R265" name="Диапазон1_2"/>
    <protectedRange password="C797" sqref="N24:N36 N38:N48 N50:N60 N62:N72 N74:N84 N86:N96 N98:N108 N110:N120 N122:N132 N134:N144 N146:N156 N158:N168 N170:N180 N182:N192 N194:N204 N206:N216 N218:N228 N230:N240 N242:N252 N254:N264" name="Диапазон1_2_1"/>
  </protectedRanges>
  <mergeCells count="31">
    <mergeCell ref="A22:A23"/>
    <mergeCell ref="G22:G23"/>
    <mergeCell ref="F22:F23"/>
    <mergeCell ref="E22:E23"/>
    <mergeCell ref="D22:D23"/>
    <mergeCell ref="C22:C23"/>
    <mergeCell ref="A1:Q1"/>
    <mergeCell ref="I22:L22"/>
    <mergeCell ref="N22:N23"/>
    <mergeCell ref="H3:M3"/>
    <mergeCell ref="N3:O3"/>
    <mergeCell ref="H4:M4"/>
    <mergeCell ref="N4:O4"/>
    <mergeCell ref="N5:O5"/>
    <mergeCell ref="N7:O7"/>
    <mergeCell ref="I9:M9"/>
    <mergeCell ref="N9:O9"/>
    <mergeCell ref="O22:O23"/>
    <mergeCell ref="I11:M11"/>
    <mergeCell ref="N11:O11"/>
    <mergeCell ref="N12:O12"/>
    <mergeCell ref="I6:M6"/>
    <mergeCell ref="R22:R23"/>
    <mergeCell ref="N13:O13"/>
    <mergeCell ref="N14:O14"/>
    <mergeCell ref="H14:H15"/>
    <mergeCell ref="N15:O15"/>
    <mergeCell ref="Q22:Q23"/>
    <mergeCell ref="P22:P23"/>
    <mergeCell ref="M22:M23"/>
    <mergeCell ref="H22:H23"/>
  </mergeCells>
  <dataValidations count="1">
    <dataValidation type="list" allowBlank="1" showInputMessage="1" showErrorMessage="1" sqref="Q8:R8">
      <formula1>$T$8:$T$9</formula1>
    </dataValidation>
  </dataValidations>
  <pageMargins left="0.23622047244094491" right="0.23622047244094491" top="0.74803149606299213" bottom="0.74803149606299213" header="0.31496062992125984" footer="0.31496062992125984"/>
  <pageSetup paperSize="9" scale="39" fitToHeight="0" orientation="portrait" r:id="rId1"/>
  <ignoredErrors>
    <ignoredError sqref="G9 F3 D9" unlockedFormula="1"/>
  </ignoredError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70"/>
  <sheetViews>
    <sheetView view="pageBreakPreview" zoomScale="80" zoomScaleNormal="100" zoomScaleSheetLayoutView="80" workbookViewId="0">
      <selection activeCell="J8" sqref="J8"/>
    </sheetView>
  </sheetViews>
  <sheetFormatPr defaultColWidth="9.140625" defaultRowHeight="15" x14ac:dyDescent="0.25"/>
  <cols>
    <col min="1" max="1" width="12.5703125" style="119" customWidth="1"/>
    <col min="2" max="2" width="12.85546875" style="119" customWidth="1"/>
    <col min="3" max="3" width="9.140625" style="119"/>
    <col min="4" max="4" width="17.5703125" style="119" customWidth="1"/>
    <col min="5" max="5" width="17.42578125" style="119" customWidth="1"/>
    <col min="6" max="6" width="17.7109375" style="119" customWidth="1"/>
    <col min="7" max="7" width="17.5703125" style="119" customWidth="1"/>
    <col min="8" max="8" width="16.42578125" style="119" customWidth="1"/>
    <col min="9" max="14" width="15" style="119" customWidth="1"/>
    <col min="15" max="15" width="11.85546875" style="119" customWidth="1"/>
    <col min="16" max="16" width="16.28515625" style="119" customWidth="1"/>
    <col min="17" max="16384" width="9.140625" style="119"/>
  </cols>
  <sheetData>
    <row r="1" spans="1:16" x14ac:dyDescent="0.25">
      <c r="A1" s="274" t="s">
        <v>151</v>
      </c>
    </row>
    <row r="2" spans="1:16" ht="40.5" customHeight="1" x14ac:dyDescent="0.3">
      <c r="A2" s="275" t="s">
        <v>85</v>
      </c>
      <c r="B2" s="275"/>
      <c r="C2" s="275"/>
      <c r="D2" s="275"/>
      <c r="E2" s="275"/>
      <c r="F2" s="275"/>
      <c r="G2" s="275"/>
      <c r="H2" s="275"/>
      <c r="I2" s="275"/>
      <c r="J2" s="275"/>
      <c r="K2" s="275"/>
      <c r="L2" s="275"/>
      <c r="M2" s="275"/>
      <c r="N2" s="275"/>
      <c r="O2" s="275"/>
      <c r="P2" s="275"/>
    </row>
    <row r="4" spans="1:16" x14ac:dyDescent="0.25">
      <c r="A4" s="46" t="s">
        <v>93</v>
      </c>
      <c r="B4" s="37"/>
      <c r="C4" s="43"/>
      <c r="D4" s="43"/>
      <c r="E4" s="276">
        <f>Графік!F4</f>
        <v>1500000</v>
      </c>
      <c r="F4" s="276"/>
      <c r="G4" s="7"/>
      <c r="H4" s="9"/>
      <c r="I4" s="9"/>
      <c r="J4" s="9"/>
      <c r="K4" s="9"/>
      <c r="L4" s="9"/>
      <c r="M4" s="9"/>
      <c r="N4" s="277" t="s">
        <v>148</v>
      </c>
      <c r="O4" s="277"/>
      <c r="P4" s="277"/>
    </row>
    <row r="5" spans="1:16" ht="15" customHeight="1" x14ac:dyDescent="0.25">
      <c r="A5" s="46" t="s">
        <v>94</v>
      </c>
      <c r="B5" s="37"/>
      <c r="C5" s="43"/>
      <c r="D5" s="43"/>
      <c r="E5" s="278">
        <f>Графік!F5</f>
        <v>500000</v>
      </c>
      <c r="F5" s="278"/>
      <c r="G5" s="12"/>
      <c r="H5" s="13"/>
      <c r="I5" s="13"/>
      <c r="J5" s="13"/>
      <c r="K5" s="13"/>
      <c r="L5" s="13"/>
      <c r="M5" s="13"/>
      <c r="N5" s="279" t="s">
        <v>149</v>
      </c>
      <c r="O5" s="280"/>
      <c r="P5" s="281">
        <f>H29</f>
        <v>10000</v>
      </c>
    </row>
    <row r="6" spans="1:16" ht="22.5" customHeight="1" x14ac:dyDescent="0.25">
      <c r="A6" s="6" t="s">
        <v>61</v>
      </c>
      <c r="B6" s="6"/>
      <c r="C6" s="6"/>
      <c r="D6" s="6"/>
      <c r="E6" s="111">
        <f>Графік!F7</f>
        <v>1000000</v>
      </c>
      <c r="F6" s="112"/>
      <c r="G6" s="12"/>
      <c r="H6" s="13"/>
      <c r="I6" s="13"/>
      <c r="J6" s="13"/>
      <c r="K6" s="13"/>
      <c r="L6" s="13"/>
      <c r="M6" s="13"/>
      <c r="N6" s="282"/>
      <c r="O6" s="283"/>
      <c r="P6" s="284"/>
    </row>
    <row r="7" spans="1:16" ht="15" hidden="1" customHeight="1" x14ac:dyDescent="0.25">
      <c r="A7" s="6" t="s">
        <v>62</v>
      </c>
      <c r="B7" s="6"/>
      <c r="C7" s="6"/>
      <c r="D7" s="6"/>
      <c r="E7" s="113">
        <f>Графік!F6</f>
        <v>0.33333333333333331</v>
      </c>
      <c r="F7" s="114"/>
      <c r="G7" s="14"/>
      <c r="H7" s="13"/>
      <c r="I7" s="13"/>
      <c r="J7" s="13"/>
      <c r="K7" s="13"/>
      <c r="L7" s="13"/>
      <c r="M7" s="13"/>
      <c r="N7" s="285" t="s">
        <v>109</v>
      </c>
      <c r="O7" s="286"/>
      <c r="P7" s="281">
        <f>K29+L29+N29+Графік!N9+Графік!N11</f>
        <v>48250</v>
      </c>
    </row>
    <row r="8" spans="1:16" x14ac:dyDescent="0.25">
      <c r="A8" s="6" t="s">
        <v>63</v>
      </c>
      <c r="B8" s="6"/>
      <c r="C8" s="6"/>
      <c r="D8" s="6"/>
      <c r="E8" s="287">
        <f ca="1">Графік!C24</f>
        <v>44523</v>
      </c>
      <c r="F8" s="288"/>
      <c r="G8" s="12"/>
      <c r="H8" s="13"/>
      <c r="I8" s="13"/>
      <c r="J8" s="13"/>
      <c r="K8" s="13"/>
      <c r="L8" s="13"/>
      <c r="M8" s="13"/>
      <c r="N8" s="289"/>
      <c r="O8" s="290"/>
      <c r="P8" s="284"/>
    </row>
    <row r="9" spans="1:16" x14ac:dyDescent="0.25">
      <c r="A9" s="6" t="s">
        <v>64</v>
      </c>
      <c r="B9" s="6"/>
      <c r="C9" s="6"/>
      <c r="D9" s="6"/>
      <c r="E9" s="287">
        <f ca="1">EDATE(E8,Графік!F8)-1</f>
        <v>46348</v>
      </c>
      <c r="F9" s="288"/>
      <c r="G9" s="12"/>
      <c r="H9" s="8"/>
      <c r="I9" s="8"/>
      <c r="J9" s="8"/>
      <c r="K9" s="8"/>
      <c r="L9" s="8"/>
      <c r="M9" s="8"/>
      <c r="N9" s="9"/>
      <c r="O9" s="291"/>
      <c r="P9" s="291"/>
    </row>
    <row r="10" spans="1:16" x14ac:dyDescent="0.25">
      <c r="A10" s="6"/>
      <c r="B10" s="6"/>
      <c r="C10" s="6"/>
      <c r="D10" s="6"/>
      <c r="E10" s="10"/>
      <c r="F10" s="11"/>
      <c r="G10" s="12"/>
      <c r="H10" s="13"/>
      <c r="I10" s="13"/>
      <c r="J10" s="13"/>
      <c r="K10" s="13"/>
      <c r="L10" s="13"/>
      <c r="M10" s="13"/>
      <c r="N10" s="13"/>
      <c r="O10" s="291"/>
      <c r="P10" s="291"/>
    </row>
    <row r="11" spans="1:16" x14ac:dyDescent="0.25">
      <c r="A11" s="6" t="s">
        <v>65</v>
      </c>
      <c r="B11" s="6"/>
      <c r="C11" s="6"/>
      <c r="D11" s="6"/>
      <c r="E11" s="97">
        <f>Графік!F8</f>
        <v>60</v>
      </c>
      <c r="F11" s="98"/>
      <c r="G11" s="12"/>
      <c r="H11" s="13"/>
      <c r="I11" s="13"/>
      <c r="J11" s="13"/>
      <c r="K11" s="13"/>
      <c r="L11" s="13"/>
      <c r="M11" s="13"/>
      <c r="N11" s="13"/>
      <c r="O11" s="291"/>
      <c r="P11" s="291"/>
    </row>
    <row r="12" spans="1:16" x14ac:dyDescent="0.25">
      <c r="A12" s="6"/>
      <c r="B12" s="6"/>
      <c r="C12" s="6"/>
      <c r="D12" s="6"/>
      <c r="E12" s="10"/>
      <c r="F12" s="11"/>
      <c r="G12" s="14"/>
      <c r="H12" s="13"/>
      <c r="I12" s="13"/>
      <c r="J12" s="13"/>
      <c r="K12" s="13"/>
      <c r="L12" s="13"/>
      <c r="M12" s="13"/>
      <c r="N12" s="13"/>
      <c r="O12" s="292"/>
      <c r="P12" s="293"/>
    </row>
    <row r="13" spans="1:16" x14ac:dyDescent="0.25">
      <c r="A13" s="6" t="s">
        <v>66</v>
      </c>
      <c r="B13" s="6"/>
      <c r="C13" s="6"/>
      <c r="D13" s="6"/>
      <c r="E13" s="99" t="s">
        <v>67</v>
      </c>
      <c r="F13" s="100"/>
      <c r="G13" s="12"/>
      <c r="H13" s="13"/>
      <c r="I13" s="13"/>
      <c r="J13" s="13"/>
      <c r="K13" s="13"/>
      <c r="L13" s="13"/>
      <c r="M13" s="13"/>
      <c r="N13" s="13"/>
      <c r="O13" s="294"/>
      <c r="P13" s="294"/>
    </row>
    <row r="14" spans="1:16" x14ac:dyDescent="0.25">
      <c r="A14" s="6" t="s">
        <v>68</v>
      </c>
      <c r="B14" s="6"/>
      <c r="C14" s="6"/>
      <c r="D14" s="6"/>
      <c r="E14" s="99" t="s">
        <v>69</v>
      </c>
      <c r="F14" s="100"/>
      <c r="G14" s="12"/>
      <c r="H14" s="8"/>
      <c r="I14" s="8"/>
      <c r="J14" s="8"/>
      <c r="K14" s="8"/>
      <c r="L14" s="8"/>
      <c r="M14" s="8"/>
      <c r="N14" s="8"/>
      <c r="O14" s="291"/>
      <c r="P14" s="291"/>
    </row>
    <row r="15" spans="1:16" ht="15" hidden="1" customHeight="1" x14ac:dyDescent="0.25">
      <c r="A15" s="101" t="s">
        <v>70</v>
      </c>
      <c r="B15" s="101"/>
      <c r="C15" s="101"/>
      <c r="D15" s="101"/>
      <c r="E15" s="101"/>
      <c r="F15" s="101"/>
      <c r="G15" s="15"/>
      <c r="H15" s="8"/>
      <c r="I15" s="8"/>
      <c r="J15" s="8"/>
      <c r="K15" s="8"/>
      <c r="L15" s="8"/>
      <c r="M15" s="8"/>
      <c r="N15" s="8"/>
      <c r="O15" s="291"/>
      <c r="P15" s="291"/>
    </row>
    <row r="16" spans="1:16" ht="15" hidden="1" customHeight="1" x14ac:dyDescent="0.25">
      <c r="A16" s="102" t="s">
        <v>71</v>
      </c>
      <c r="B16" s="103"/>
      <c r="C16" s="16"/>
      <c r="D16" s="16"/>
      <c r="E16" s="16" t="s">
        <v>72</v>
      </c>
      <c r="F16" s="17" t="s">
        <v>73</v>
      </c>
      <c r="G16" s="17" t="s">
        <v>74</v>
      </c>
      <c r="H16" s="18"/>
      <c r="I16" s="18"/>
      <c r="J16" s="18"/>
      <c r="K16" s="18"/>
      <c r="L16" s="18"/>
      <c r="M16" s="18"/>
      <c r="N16" s="18"/>
      <c r="O16" s="291"/>
      <c r="P16" s="291"/>
    </row>
    <row r="17" spans="1:16" hidden="1" x14ac:dyDescent="0.25">
      <c r="A17" s="115" t="str">
        <f xml:space="preserve"> IF(E11&gt;60,Графік!D11," ")</f>
        <v xml:space="preserve"> </v>
      </c>
      <c r="B17" s="116"/>
      <c r="C17" s="16"/>
      <c r="D17" s="16"/>
      <c r="E17" s="41" t="str">
        <f>IF(E11&gt;60,Графік!F15," ")</f>
        <v xml:space="preserve"> </v>
      </c>
      <c r="F17" s="42" t="str">
        <f>IF(E11&gt;60,Графік!F13," ")</f>
        <v xml:space="preserve"> </v>
      </c>
      <c r="G17" s="42" t="str">
        <f>IF(E11&gt;60,Графік!F12," ")</f>
        <v xml:space="preserve"> </v>
      </c>
      <c r="H17" s="18"/>
      <c r="I17" s="18"/>
      <c r="J17" s="18"/>
      <c r="K17" s="18"/>
      <c r="L17" s="18"/>
      <c r="M17" s="18"/>
      <c r="N17" s="18"/>
      <c r="O17" s="20"/>
      <c r="P17" s="20"/>
    </row>
    <row r="18" spans="1:16" hidden="1" x14ac:dyDescent="0.25">
      <c r="A18" s="21" t="s">
        <v>79</v>
      </c>
      <c r="B18" s="19"/>
      <c r="C18" s="19"/>
      <c r="D18" s="19"/>
      <c r="E18" s="19"/>
      <c r="F18" s="19"/>
      <c r="G18" s="19"/>
      <c r="H18" s="22"/>
      <c r="I18" s="22"/>
      <c r="J18" s="22"/>
      <c r="K18" s="22"/>
      <c r="L18" s="22"/>
      <c r="M18" s="22"/>
      <c r="N18" s="22"/>
      <c r="O18" s="19"/>
      <c r="P18" s="19"/>
    </row>
    <row r="19" spans="1:16" hidden="1" x14ac:dyDescent="0.25">
      <c r="A19" s="23"/>
      <c r="B19" s="23"/>
      <c r="C19" s="23"/>
      <c r="D19" s="23"/>
      <c r="E19" s="23"/>
      <c r="F19" s="23"/>
      <c r="G19" s="19"/>
      <c r="H19" s="24"/>
      <c r="I19" s="24"/>
      <c r="J19" s="24"/>
      <c r="K19" s="24"/>
      <c r="L19" s="24"/>
      <c r="M19" s="24"/>
      <c r="N19" s="24"/>
      <c r="O19" s="25"/>
      <c r="P19" s="25"/>
    </row>
    <row r="20" spans="1:16" x14ac:dyDescent="0.25">
      <c r="A20" s="26"/>
      <c r="B20" s="27"/>
      <c r="C20" s="27"/>
      <c r="D20" s="27"/>
      <c r="E20" s="27"/>
      <c r="F20" s="27"/>
      <c r="G20" s="27"/>
      <c r="H20" s="27"/>
      <c r="I20" s="27"/>
      <c r="J20" s="27"/>
      <c r="K20" s="27"/>
      <c r="L20" s="27"/>
      <c r="M20" s="27"/>
      <c r="N20" s="27"/>
      <c r="O20" s="28"/>
      <c r="P20" s="28"/>
    </row>
    <row r="21" spans="1:16" ht="24" customHeight="1" x14ac:dyDescent="0.25">
      <c r="A21" s="82" t="s">
        <v>47</v>
      </c>
      <c r="B21" s="85" t="s">
        <v>48</v>
      </c>
      <c r="C21" s="85" t="s">
        <v>49</v>
      </c>
      <c r="D21" s="85" t="s">
        <v>50</v>
      </c>
      <c r="E21" s="94" t="s">
        <v>75</v>
      </c>
      <c r="F21" s="104" t="s">
        <v>76</v>
      </c>
      <c r="G21" s="105"/>
      <c r="H21" s="105"/>
      <c r="I21" s="105"/>
      <c r="J21" s="106"/>
      <c r="K21" s="90" t="s">
        <v>129</v>
      </c>
      <c r="L21" s="91"/>
      <c r="M21" s="50"/>
      <c r="N21" s="51"/>
      <c r="O21" s="107" t="s">
        <v>51</v>
      </c>
      <c r="P21" s="80" t="s">
        <v>77</v>
      </c>
    </row>
    <row r="22" spans="1:16" ht="72" customHeight="1" x14ac:dyDescent="0.25">
      <c r="A22" s="83"/>
      <c r="B22" s="86"/>
      <c r="C22" s="86"/>
      <c r="D22" s="86"/>
      <c r="E22" s="95"/>
      <c r="F22" s="88" t="s">
        <v>52</v>
      </c>
      <c r="G22" s="88" t="s">
        <v>53</v>
      </c>
      <c r="H22" s="88" t="s">
        <v>78</v>
      </c>
      <c r="I22" s="89" t="s">
        <v>90</v>
      </c>
      <c r="J22" s="80" t="s">
        <v>122</v>
      </c>
      <c r="K22" s="80" t="s">
        <v>110</v>
      </c>
      <c r="L22" s="92" t="s">
        <v>111</v>
      </c>
      <c r="M22" s="80" t="s">
        <v>112</v>
      </c>
      <c r="N22" s="80" t="s">
        <v>113</v>
      </c>
      <c r="O22" s="108"/>
      <c r="P22" s="81"/>
    </row>
    <row r="23" spans="1:16" ht="45" customHeight="1" x14ac:dyDescent="0.25">
      <c r="A23" s="83"/>
      <c r="B23" s="86"/>
      <c r="C23" s="86"/>
      <c r="D23" s="86"/>
      <c r="E23" s="95"/>
      <c r="F23" s="86"/>
      <c r="G23" s="86"/>
      <c r="H23" s="86"/>
      <c r="I23" s="86"/>
      <c r="J23" s="81"/>
      <c r="K23" s="81"/>
      <c r="L23" s="93"/>
      <c r="M23" s="81"/>
      <c r="N23" s="81"/>
      <c r="O23" s="108"/>
      <c r="P23" s="81"/>
    </row>
    <row r="24" spans="1:16" ht="15" hidden="1" customHeight="1" x14ac:dyDescent="0.25">
      <c r="A24" s="83"/>
      <c r="B24" s="86"/>
      <c r="C24" s="86"/>
      <c r="D24" s="86"/>
      <c r="E24" s="95"/>
      <c r="F24" s="86"/>
      <c r="G24" s="86"/>
      <c r="H24" s="86"/>
      <c r="I24" s="86"/>
      <c r="J24" s="47"/>
      <c r="K24" s="47"/>
      <c r="L24" s="47"/>
      <c r="M24" s="47"/>
      <c r="N24" s="47"/>
      <c r="O24" s="108"/>
      <c r="P24" s="81"/>
    </row>
    <row r="25" spans="1:16" ht="9" hidden="1" customHeight="1" x14ac:dyDescent="0.25">
      <c r="A25" s="83"/>
      <c r="B25" s="86"/>
      <c r="C25" s="86"/>
      <c r="D25" s="86"/>
      <c r="E25" s="95"/>
      <c r="F25" s="86"/>
      <c r="G25" s="86"/>
      <c r="H25" s="86"/>
      <c r="I25" s="86"/>
      <c r="J25" s="47"/>
      <c r="K25" s="47"/>
      <c r="L25" s="47"/>
      <c r="M25" s="47"/>
      <c r="N25" s="47"/>
      <c r="O25" s="108"/>
      <c r="P25" s="81"/>
    </row>
    <row r="26" spans="1:16" ht="5.25" hidden="1" customHeight="1" x14ac:dyDescent="0.25">
      <c r="A26" s="83"/>
      <c r="B26" s="86"/>
      <c r="C26" s="86"/>
      <c r="D26" s="86"/>
      <c r="E26" s="95"/>
      <c r="F26" s="86"/>
      <c r="G26" s="86"/>
      <c r="H26" s="86"/>
      <c r="I26" s="86"/>
      <c r="J26" s="47"/>
      <c r="K26" s="47"/>
      <c r="L26" s="47"/>
      <c r="M26" s="47"/>
      <c r="N26" s="47"/>
      <c r="O26" s="108"/>
      <c r="P26" s="81"/>
    </row>
    <row r="27" spans="1:16" ht="3.75" hidden="1" customHeight="1" x14ac:dyDescent="0.25">
      <c r="A27" s="83"/>
      <c r="B27" s="86"/>
      <c r="C27" s="86"/>
      <c r="D27" s="86"/>
      <c r="E27" s="95"/>
      <c r="F27" s="86"/>
      <c r="G27" s="86"/>
      <c r="H27" s="86"/>
      <c r="I27" s="86"/>
      <c r="J27" s="47"/>
      <c r="K27" s="47"/>
      <c r="L27" s="47"/>
      <c r="M27" s="47"/>
      <c r="N27" s="47"/>
      <c r="O27" s="108"/>
      <c r="P27" s="81"/>
    </row>
    <row r="28" spans="1:16" ht="15" hidden="1" customHeight="1" x14ac:dyDescent="0.25">
      <c r="A28" s="84"/>
      <c r="B28" s="87"/>
      <c r="C28" s="87"/>
      <c r="D28" s="87"/>
      <c r="E28" s="96"/>
      <c r="F28" s="87"/>
      <c r="G28" s="87"/>
      <c r="H28" s="47"/>
      <c r="I28" s="87"/>
      <c r="J28" s="52"/>
      <c r="K28" s="52"/>
      <c r="L28" s="52"/>
      <c r="M28" s="52"/>
      <c r="N28" s="52"/>
      <c r="O28" s="109"/>
      <c r="P28" s="110"/>
    </row>
    <row r="29" spans="1:16" x14ac:dyDescent="0.25">
      <c r="A29" s="29"/>
      <c r="B29" s="30">
        <f ca="1">Графік!C24</f>
        <v>44523</v>
      </c>
      <c r="C29" s="31"/>
      <c r="D29" s="32">
        <f>Графік!E24</f>
        <v>1000000</v>
      </c>
      <c r="E29" s="33"/>
      <c r="F29" s="32"/>
      <c r="G29" s="33"/>
      <c r="H29" s="33">
        <f>Графік!M24</f>
        <v>10000</v>
      </c>
      <c r="I29" s="33">
        <f>Графік!O24</f>
        <v>0</v>
      </c>
      <c r="J29" s="33">
        <f>Графік!N24</f>
        <v>0</v>
      </c>
      <c r="K29" s="33">
        <f>Графік!I24</f>
        <v>10000</v>
      </c>
      <c r="L29" s="33">
        <f>Графік!J24</f>
        <v>2000</v>
      </c>
      <c r="M29" s="33">
        <f>Графік!K24</f>
        <v>7250</v>
      </c>
      <c r="N29" s="33">
        <f>Графік!L24</f>
        <v>0</v>
      </c>
      <c r="O29" s="35">
        <f>Графік!P24</f>
        <v>0</v>
      </c>
      <c r="P29" s="55">
        <f>Графік!Q24</f>
        <v>0</v>
      </c>
    </row>
    <row r="30" spans="1:16" x14ac:dyDescent="0.25">
      <c r="A30" s="29">
        <f>Графік!A25</f>
        <v>1</v>
      </c>
      <c r="B30" s="173">
        <f ca="1">Графік!C25</f>
        <v>44553</v>
      </c>
      <c r="C30" s="31">
        <f ca="1">Графік!D25</f>
        <v>30</v>
      </c>
      <c r="D30" s="32">
        <f>Графік!E25</f>
        <v>983333.33333333337</v>
      </c>
      <c r="E30" s="33">
        <f ca="1">Графік!H25</f>
        <v>33105.026666666672</v>
      </c>
      <c r="F30" s="32">
        <f>Графік!F25</f>
        <v>16666.666666666668</v>
      </c>
      <c r="G30" s="33">
        <f ca="1">Графік!G25</f>
        <v>16438.36</v>
      </c>
      <c r="H30" s="34">
        <f>Графік!M25</f>
        <v>0</v>
      </c>
      <c r="I30" s="34"/>
      <c r="J30" s="34">
        <f>Графік!N25</f>
        <v>0</v>
      </c>
      <c r="K30" s="34">
        <f>Графік!I25</f>
        <v>0</v>
      </c>
      <c r="L30" s="34">
        <f>Графік!J25</f>
        <v>0</v>
      </c>
      <c r="M30" s="34">
        <f>Графік!K25</f>
        <v>0</v>
      </c>
      <c r="N30" s="34">
        <f>Графік!L25</f>
        <v>0</v>
      </c>
      <c r="O30" s="36" t="str">
        <f>Графік!P25</f>
        <v/>
      </c>
      <c r="P30" s="54">
        <f>Графік!Q25</f>
        <v>0</v>
      </c>
    </row>
    <row r="31" spans="1:16" x14ac:dyDescent="0.25">
      <c r="A31" s="29">
        <f>Графік!A26</f>
        <v>2</v>
      </c>
      <c r="B31" s="173">
        <f ca="1">Графік!C26</f>
        <v>44584</v>
      </c>
      <c r="C31" s="31">
        <f ca="1">Графік!D26</f>
        <v>31</v>
      </c>
      <c r="D31" s="32">
        <f>Графік!E26</f>
        <v>966666.66333333333</v>
      </c>
      <c r="E31" s="33">
        <f ca="1">Графік!H26</f>
        <v>33369.869999999995</v>
      </c>
      <c r="F31" s="32">
        <f>Графік!F26</f>
        <v>16666.669999999998</v>
      </c>
      <c r="G31" s="33">
        <f ca="1">Графік!G26</f>
        <v>16703.2</v>
      </c>
      <c r="H31" s="34">
        <f>Графік!M26</f>
        <v>0</v>
      </c>
      <c r="I31" s="34"/>
      <c r="J31" s="34">
        <f>Графік!N26</f>
        <v>0</v>
      </c>
      <c r="K31" s="34">
        <f>Графік!I26</f>
        <v>0</v>
      </c>
      <c r="L31" s="34">
        <f>Графік!J26</f>
        <v>0</v>
      </c>
      <c r="M31" s="34">
        <f>Графік!K26</f>
        <v>0</v>
      </c>
      <c r="N31" s="34">
        <f>Графік!L26</f>
        <v>0</v>
      </c>
      <c r="O31" s="36" t="str">
        <f>Графік!P26</f>
        <v/>
      </c>
      <c r="P31" s="54">
        <f>Графік!Q26</f>
        <v>0</v>
      </c>
    </row>
    <row r="32" spans="1:16" x14ac:dyDescent="0.25">
      <c r="A32" s="29">
        <f>Графік!A27</f>
        <v>3</v>
      </c>
      <c r="B32" s="173">
        <f ca="1">Графік!C27</f>
        <v>44615</v>
      </c>
      <c r="C32" s="31">
        <f ca="1">Графік!D27</f>
        <v>31</v>
      </c>
      <c r="D32" s="32">
        <f>Графік!E27</f>
        <v>949999.99333333329</v>
      </c>
      <c r="E32" s="33">
        <f ca="1">Графік!H27</f>
        <v>33086.759999999995</v>
      </c>
      <c r="F32" s="32">
        <f>Графік!F27</f>
        <v>16666.669999999998</v>
      </c>
      <c r="G32" s="33">
        <f ca="1">Графік!G27</f>
        <v>16420.09</v>
      </c>
      <c r="H32" s="34">
        <f>Графік!M27</f>
        <v>0</v>
      </c>
      <c r="I32" s="34"/>
      <c r="J32" s="34">
        <f>Графік!N27</f>
        <v>0</v>
      </c>
      <c r="K32" s="34">
        <f>Графік!I27</f>
        <v>0</v>
      </c>
      <c r="L32" s="34">
        <f>Графік!J27</f>
        <v>0</v>
      </c>
      <c r="M32" s="34">
        <f>Графік!K27</f>
        <v>0</v>
      </c>
      <c r="N32" s="34">
        <f>Графік!L27</f>
        <v>0</v>
      </c>
      <c r="O32" s="36" t="str">
        <f>Графік!P27</f>
        <v/>
      </c>
      <c r="P32" s="55" t="str">
        <f>Графік!Q27</f>
        <v/>
      </c>
    </row>
    <row r="33" spans="1:16" x14ac:dyDescent="0.25">
      <c r="A33" s="29">
        <f>Графік!A28</f>
        <v>4</v>
      </c>
      <c r="B33" s="173">
        <f ca="1">Графік!C28</f>
        <v>44643</v>
      </c>
      <c r="C33" s="31">
        <f ca="1">Графік!D28</f>
        <v>28</v>
      </c>
      <c r="D33" s="32">
        <f>Графік!E28</f>
        <v>933333.32333333325</v>
      </c>
      <c r="E33" s="33">
        <f ca="1">Графік!H28</f>
        <v>31242.01</v>
      </c>
      <c r="F33" s="32">
        <f>Графік!F28</f>
        <v>16666.669999999998</v>
      </c>
      <c r="G33" s="33">
        <f ca="1">Графік!G28</f>
        <v>14575.34</v>
      </c>
      <c r="H33" s="34" t="str">
        <f>Графік!M28</f>
        <v/>
      </c>
      <c r="I33" s="34"/>
      <c r="J33" s="34">
        <f>Графік!N28</f>
        <v>0</v>
      </c>
      <c r="K33" s="34">
        <f>Графік!I28</f>
        <v>0</v>
      </c>
      <c r="L33" s="34">
        <f>Графік!J28</f>
        <v>0</v>
      </c>
      <c r="M33" s="34">
        <f>Графік!K28</f>
        <v>0</v>
      </c>
      <c r="N33" s="34">
        <f>Графік!L28</f>
        <v>0</v>
      </c>
      <c r="O33" s="36" t="str">
        <f>Графік!P28</f>
        <v/>
      </c>
      <c r="P33" s="55" t="str">
        <f>Графік!Q28</f>
        <v/>
      </c>
    </row>
    <row r="34" spans="1:16" x14ac:dyDescent="0.25">
      <c r="A34" s="29">
        <f>Графік!A29</f>
        <v>5</v>
      </c>
      <c r="B34" s="173">
        <f ca="1">Графік!C29</f>
        <v>44674</v>
      </c>
      <c r="C34" s="31">
        <f ca="1">Графік!D29</f>
        <v>31</v>
      </c>
      <c r="D34" s="32">
        <f>Графік!E29</f>
        <v>916666.6533333332</v>
      </c>
      <c r="E34" s="33">
        <f ca="1">Графік!H29</f>
        <v>32520.549999999996</v>
      </c>
      <c r="F34" s="32">
        <f>Графік!F29</f>
        <v>16666.669999999998</v>
      </c>
      <c r="G34" s="33">
        <f ca="1">Графік!G29</f>
        <v>15853.88</v>
      </c>
      <c r="H34" s="34" t="str">
        <f>Графік!M29</f>
        <v/>
      </c>
      <c r="I34" s="34"/>
      <c r="J34" s="34" t="str">
        <f>Графік!N29</f>
        <v/>
      </c>
      <c r="K34" s="34" t="str">
        <f>Графік!I29</f>
        <v/>
      </c>
      <c r="L34" s="34" t="str">
        <f>Графік!J29</f>
        <v/>
      </c>
      <c r="M34" s="34">
        <f>Графік!K29</f>
        <v>0</v>
      </c>
      <c r="N34" s="34" t="str">
        <f>Графік!L29</f>
        <v/>
      </c>
      <c r="O34" s="36" t="str">
        <f>Графік!P29</f>
        <v/>
      </c>
      <c r="P34" s="55" t="str">
        <f>Графік!Q29</f>
        <v/>
      </c>
    </row>
    <row r="35" spans="1:16" x14ac:dyDescent="0.25">
      <c r="A35" s="29">
        <f>Графік!A30</f>
        <v>6</v>
      </c>
      <c r="B35" s="173">
        <f ca="1">Графік!C30</f>
        <v>44704</v>
      </c>
      <c r="C35" s="31">
        <f ca="1">Графік!D30</f>
        <v>30</v>
      </c>
      <c r="D35" s="32">
        <f>Графік!E30</f>
        <v>899999.98333333316</v>
      </c>
      <c r="E35" s="33">
        <f ca="1">Графік!H30</f>
        <v>31735.159999999996</v>
      </c>
      <c r="F35" s="32">
        <f>Графік!F30</f>
        <v>16666.669999999998</v>
      </c>
      <c r="G35" s="33">
        <f ca="1">Графік!G30</f>
        <v>15068.49</v>
      </c>
      <c r="H35" s="34" t="str">
        <f>Графік!M30</f>
        <v/>
      </c>
      <c r="I35" s="34"/>
      <c r="J35" s="53" t="str">
        <f>Графік!N30</f>
        <v/>
      </c>
      <c r="K35" s="34" t="str">
        <f>Графік!I30</f>
        <v/>
      </c>
      <c r="L35" s="34" t="str">
        <f>Графік!J30</f>
        <v/>
      </c>
      <c r="M35" s="34">
        <f>Графік!K30</f>
        <v>0</v>
      </c>
      <c r="N35" s="34" t="str">
        <f>Графік!L30</f>
        <v/>
      </c>
      <c r="O35" s="36" t="str">
        <f>Графік!P30</f>
        <v/>
      </c>
      <c r="P35" s="55" t="str">
        <f>Графік!Q30</f>
        <v/>
      </c>
    </row>
    <row r="36" spans="1:16" x14ac:dyDescent="0.25">
      <c r="A36" s="29">
        <f>Графік!A31</f>
        <v>7</v>
      </c>
      <c r="B36" s="173">
        <f ca="1">Графік!C31</f>
        <v>44735</v>
      </c>
      <c r="C36" s="31">
        <f ca="1">Графік!D31</f>
        <v>31</v>
      </c>
      <c r="D36" s="32">
        <f>Графік!E31</f>
        <v>883333.31333333312</v>
      </c>
      <c r="E36" s="33">
        <f ca="1">Графік!H31</f>
        <v>31954.339999999997</v>
      </c>
      <c r="F36" s="32">
        <f>Графік!F31</f>
        <v>16666.669999999998</v>
      </c>
      <c r="G36" s="33">
        <f ca="1">Графік!G31</f>
        <v>15287.67</v>
      </c>
      <c r="H36" s="34">
        <f>Графік!M31</f>
        <v>0</v>
      </c>
      <c r="I36" s="34"/>
      <c r="J36" s="53" t="str">
        <f>Графік!N31</f>
        <v/>
      </c>
      <c r="K36" s="34" t="str">
        <f>Графік!I31</f>
        <v/>
      </c>
      <c r="L36" s="34" t="str">
        <f>Графік!J31</f>
        <v/>
      </c>
      <c r="M36" s="34">
        <f>Графік!K31</f>
        <v>0</v>
      </c>
      <c r="N36" s="34" t="str">
        <f>Графік!L31</f>
        <v/>
      </c>
      <c r="O36" s="36" t="str">
        <f>Графік!P31</f>
        <v/>
      </c>
      <c r="P36" s="55" t="str">
        <f>Графік!Q31</f>
        <v/>
      </c>
    </row>
    <row r="37" spans="1:16" x14ac:dyDescent="0.25">
      <c r="A37" s="29">
        <f>Графік!A32</f>
        <v>8</v>
      </c>
      <c r="B37" s="173">
        <f ca="1">Графік!C32</f>
        <v>44765</v>
      </c>
      <c r="C37" s="31">
        <f ca="1">Графік!D32</f>
        <v>30</v>
      </c>
      <c r="D37" s="32">
        <f>Графік!E32</f>
        <v>866666.64333333308</v>
      </c>
      <c r="E37" s="33">
        <f ca="1">Графік!H32</f>
        <v>31187.219999999998</v>
      </c>
      <c r="F37" s="32">
        <f>Графік!F32</f>
        <v>16666.669999999998</v>
      </c>
      <c r="G37" s="33">
        <f ca="1">Графік!G32</f>
        <v>14520.55</v>
      </c>
      <c r="H37" s="33" t="str">
        <f>Графік!M32</f>
        <v/>
      </c>
      <c r="I37" s="33"/>
      <c r="J37" s="53" t="str">
        <f>Графік!N32</f>
        <v/>
      </c>
      <c r="K37" s="34" t="str">
        <f>Графік!I32</f>
        <v/>
      </c>
      <c r="L37" s="34" t="str">
        <f>Графік!J32</f>
        <v/>
      </c>
      <c r="M37" s="34">
        <f>Графік!K32</f>
        <v>0</v>
      </c>
      <c r="N37" s="34" t="str">
        <f>Графік!L32</f>
        <v/>
      </c>
      <c r="O37" s="36" t="str">
        <f>Графік!P32</f>
        <v/>
      </c>
      <c r="P37" s="55" t="str">
        <f>Графік!Q32</f>
        <v/>
      </c>
    </row>
    <row r="38" spans="1:16" x14ac:dyDescent="0.25">
      <c r="A38" s="29">
        <f>Графік!A33</f>
        <v>9</v>
      </c>
      <c r="B38" s="173">
        <f ca="1">Графік!C33</f>
        <v>44796</v>
      </c>
      <c r="C38" s="31">
        <f ca="1">Графік!D33</f>
        <v>31</v>
      </c>
      <c r="D38" s="32">
        <f>Графік!E33</f>
        <v>849999.97333333304</v>
      </c>
      <c r="E38" s="33">
        <f ca="1">Графік!H33</f>
        <v>31388.129999999997</v>
      </c>
      <c r="F38" s="32">
        <f>Графік!F33</f>
        <v>16666.669999999998</v>
      </c>
      <c r="G38" s="33">
        <f ca="1">Графік!G33</f>
        <v>14721.46</v>
      </c>
      <c r="H38" s="33" t="str">
        <f>Графік!M33</f>
        <v/>
      </c>
      <c r="I38" s="33"/>
      <c r="J38" s="53" t="str">
        <f>Графік!N33</f>
        <v/>
      </c>
      <c r="K38" s="34" t="str">
        <f>Графік!I33</f>
        <v/>
      </c>
      <c r="L38" s="34" t="str">
        <f>Графік!J33</f>
        <v/>
      </c>
      <c r="M38" s="34">
        <f>Графік!K33</f>
        <v>0</v>
      </c>
      <c r="N38" s="34" t="str">
        <f>Графік!L33</f>
        <v/>
      </c>
      <c r="O38" s="36" t="str">
        <f>Графік!P33</f>
        <v/>
      </c>
      <c r="P38" s="55" t="str">
        <f>Графік!Q33</f>
        <v/>
      </c>
    </row>
    <row r="39" spans="1:16" x14ac:dyDescent="0.25">
      <c r="A39" s="29">
        <f>Графік!A34</f>
        <v>10</v>
      </c>
      <c r="B39" s="173">
        <f ca="1">Графік!C34</f>
        <v>44827</v>
      </c>
      <c r="C39" s="31">
        <f ca="1">Графік!D34</f>
        <v>31</v>
      </c>
      <c r="D39" s="32">
        <f>Графік!E34</f>
        <v>833333.30333333299</v>
      </c>
      <c r="E39" s="33">
        <f ca="1">Графік!H34</f>
        <v>31105.03</v>
      </c>
      <c r="F39" s="32">
        <f>Графік!F34</f>
        <v>16666.669999999998</v>
      </c>
      <c r="G39" s="33">
        <f ca="1">Графік!G34</f>
        <v>14438.36</v>
      </c>
      <c r="H39" s="33" t="str">
        <f>Графік!M34</f>
        <v/>
      </c>
      <c r="I39" s="33"/>
      <c r="J39" s="53" t="str">
        <f>Графік!N34</f>
        <v/>
      </c>
      <c r="K39" s="34" t="str">
        <f>Графік!I34</f>
        <v/>
      </c>
      <c r="L39" s="34" t="str">
        <f>Графік!J34</f>
        <v/>
      </c>
      <c r="M39" s="34">
        <f>Графік!K34</f>
        <v>0</v>
      </c>
      <c r="N39" s="34" t="str">
        <f>Графік!L34</f>
        <v/>
      </c>
      <c r="O39" s="36" t="str">
        <f>Графік!P34</f>
        <v/>
      </c>
      <c r="P39" s="55" t="str">
        <f>Графік!Q34</f>
        <v/>
      </c>
    </row>
    <row r="40" spans="1:16" x14ac:dyDescent="0.25">
      <c r="A40" s="29">
        <f>Графік!A35</f>
        <v>11</v>
      </c>
      <c r="B40" s="173">
        <f ca="1">Графік!C35</f>
        <v>44857</v>
      </c>
      <c r="C40" s="31">
        <f ca="1">Графік!D35</f>
        <v>30</v>
      </c>
      <c r="D40" s="32">
        <f>Графік!E35</f>
        <v>816666.63333333295</v>
      </c>
      <c r="E40" s="33">
        <f ca="1">Графік!H35</f>
        <v>30365.299999999996</v>
      </c>
      <c r="F40" s="32">
        <f>Графік!F35</f>
        <v>16666.669999999998</v>
      </c>
      <c r="G40" s="33">
        <f ca="1">Графік!G35</f>
        <v>13698.63</v>
      </c>
      <c r="H40" s="33" t="str">
        <f>Графік!M35</f>
        <v/>
      </c>
      <c r="I40" s="33"/>
      <c r="J40" s="53" t="str">
        <f>Графік!N35</f>
        <v/>
      </c>
      <c r="K40" s="34" t="str">
        <f>Графік!I35</f>
        <v/>
      </c>
      <c r="L40" s="34" t="str">
        <f>Графік!J35</f>
        <v/>
      </c>
      <c r="M40" s="34">
        <f>Графік!K35</f>
        <v>0</v>
      </c>
      <c r="N40" s="34" t="str">
        <f>Графік!L35</f>
        <v/>
      </c>
      <c r="O40" s="36" t="str">
        <f>Графік!P35</f>
        <v/>
      </c>
      <c r="P40" s="55" t="str">
        <f>Графік!Q35</f>
        <v/>
      </c>
    </row>
    <row r="41" spans="1:16" x14ac:dyDescent="0.25">
      <c r="A41" s="29">
        <f>Графік!A36</f>
        <v>12</v>
      </c>
      <c r="B41" s="173">
        <f ca="1">Графік!C36</f>
        <v>44888</v>
      </c>
      <c r="C41" s="31">
        <f ca="1">Графік!D36</f>
        <v>31</v>
      </c>
      <c r="D41" s="32">
        <f>Графік!E36</f>
        <v>799999.96333333291</v>
      </c>
      <c r="E41" s="33">
        <f ca="1">Графік!H36</f>
        <v>30538.82</v>
      </c>
      <c r="F41" s="32">
        <f>Графік!F36</f>
        <v>16666.669999999998</v>
      </c>
      <c r="G41" s="33">
        <f ca="1">Графік!G36</f>
        <v>13872.15</v>
      </c>
      <c r="H41" s="33" t="str">
        <f>Графік!M36</f>
        <v/>
      </c>
      <c r="I41" s="33"/>
      <c r="J41" s="53" t="str">
        <f>Графік!N36</f>
        <v/>
      </c>
      <c r="K41" s="34" t="str">
        <f>Графік!I36</f>
        <v/>
      </c>
      <c r="L41" s="34" t="str">
        <f>Графік!J36</f>
        <v/>
      </c>
      <c r="M41" s="34">
        <f>Графік!K36</f>
        <v>0</v>
      </c>
      <c r="N41" s="34" t="str">
        <f>Графік!L36</f>
        <v/>
      </c>
      <c r="O41" s="36" t="str">
        <f>Графік!P36</f>
        <v/>
      </c>
      <c r="P41" s="55" t="str">
        <f>Графік!Q36</f>
        <v/>
      </c>
    </row>
    <row r="42" spans="1:16" x14ac:dyDescent="0.25">
      <c r="A42" s="29">
        <f>Графік!A37</f>
        <v>13</v>
      </c>
      <c r="B42" s="173">
        <f ca="1">Графік!C37</f>
        <v>44918</v>
      </c>
      <c r="C42" s="31">
        <f ca="1">Графік!D37</f>
        <v>30</v>
      </c>
      <c r="D42" s="32">
        <f>Графік!E37</f>
        <v>783333.29333333287</v>
      </c>
      <c r="E42" s="33">
        <f ca="1">Графік!H37</f>
        <v>29817.35</v>
      </c>
      <c r="F42" s="32">
        <f>Графік!F37</f>
        <v>16666.669999999998</v>
      </c>
      <c r="G42" s="33">
        <f ca="1">Графік!G37</f>
        <v>13150.68</v>
      </c>
      <c r="H42" s="33" t="str">
        <f>Графік!M37</f>
        <v/>
      </c>
      <c r="I42" s="33"/>
      <c r="J42" s="53">
        <f>Графік!N37</f>
        <v>0</v>
      </c>
      <c r="K42" s="33" t="str">
        <f>Графік!I37</f>
        <v/>
      </c>
      <c r="L42" s="33" t="str">
        <f>Графік!J37</f>
        <v/>
      </c>
      <c r="M42" s="33">
        <f>Графік!K37</f>
        <v>7250</v>
      </c>
      <c r="N42" s="33" t="str">
        <f>Графік!L37</f>
        <v/>
      </c>
      <c r="O42" s="36" t="str">
        <f>Графік!P37</f>
        <v/>
      </c>
      <c r="P42" s="55" t="str">
        <f>Графік!Q37</f>
        <v/>
      </c>
    </row>
    <row r="43" spans="1:16" x14ac:dyDescent="0.25">
      <c r="A43" s="29">
        <f>Графік!A38</f>
        <v>14</v>
      </c>
      <c r="B43" s="173">
        <f ca="1">Графік!C38</f>
        <v>44949</v>
      </c>
      <c r="C43" s="31">
        <f ca="1">Графік!D38</f>
        <v>31</v>
      </c>
      <c r="D43" s="32">
        <f>Графік!E38</f>
        <v>766666.62333333283</v>
      </c>
      <c r="E43" s="33">
        <f ca="1">Графік!H38</f>
        <v>29972.61</v>
      </c>
      <c r="F43" s="32">
        <f>Графік!F38</f>
        <v>16666.669999999998</v>
      </c>
      <c r="G43" s="33">
        <f ca="1">Графік!G38</f>
        <v>13305.94</v>
      </c>
      <c r="H43" s="33" t="str">
        <f>Графік!M38</f>
        <v/>
      </c>
      <c r="I43" s="33"/>
      <c r="J43" s="53" t="str">
        <f>Графік!N38</f>
        <v/>
      </c>
      <c r="K43" s="33" t="str">
        <f>Графік!I38</f>
        <v/>
      </c>
      <c r="L43" s="33" t="str">
        <f>Графік!J38</f>
        <v/>
      </c>
      <c r="M43" s="34">
        <f>Графік!K38</f>
        <v>0</v>
      </c>
      <c r="N43" s="33" t="str">
        <f>Графік!L38</f>
        <v/>
      </c>
      <c r="O43" s="36" t="str">
        <f>Графік!P38</f>
        <v/>
      </c>
      <c r="P43" s="55" t="str">
        <f>Графік!Q38</f>
        <v/>
      </c>
    </row>
    <row r="44" spans="1:16" x14ac:dyDescent="0.25">
      <c r="A44" s="29">
        <f>Графік!A39</f>
        <v>15</v>
      </c>
      <c r="B44" s="173">
        <f ca="1">Графік!C39</f>
        <v>44980</v>
      </c>
      <c r="C44" s="31">
        <f ca="1">Графік!D39</f>
        <v>31</v>
      </c>
      <c r="D44" s="32">
        <f>Графік!E39</f>
        <v>749999.95333333279</v>
      </c>
      <c r="E44" s="33">
        <f ca="1">Графік!H39</f>
        <v>29689.5</v>
      </c>
      <c r="F44" s="32">
        <f>Графік!F39</f>
        <v>16666.669999999998</v>
      </c>
      <c r="G44" s="33">
        <f ca="1">Графік!G39</f>
        <v>13022.83</v>
      </c>
      <c r="H44" s="33" t="str">
        <f>Графік!M39</f>
        <v/>
      </c>
      <c r="I44" s="33"/>
      <c r="J44" s="53" t="str">
        <f>Графік!N39</f>
        <v/>
      </c>
      <c r="K44" s="33" t="str">
        <f>Графік!I39</f>
        <v/>
      </c>
      <c r="L44" s="33" t="str">
        <f>Графік!J39</f>
        <v/>
      </c>
      <c r="M44" s="34">
        <f>Графік!K39</f>
        <v>0</v>
      </c>
      <c r="N44" s="33" t="str">
        <f>Графік!L39</f>
        <v/>
      </c>
      <c r="O44" s="36" t="str">
        <f>Графік!P39</f>
        <v/>
      </c>
      <c r="P44" s="55" t="str">
        <f>Графік!Q39</f>
        <v/>
      </c>
    </row>
    <row r="45" spans="1:16" x14ac:dyDescent="0.25">
      <c r="A45" s="29">
        <f>Графік!A40</f>
        <v>16</v>
      </c>
      <c r="B45" s="173">
        <f ca="1">Графік!C40</f>
        <v>45008</v>
      </c>
      <c r="C45" s="31">
        <f ca="1">Графік!D40</f>
        <v>28</v>
      </c>
      <c r="D45" s="32">
        <f>Графік!E40</f>
        <v>733333.28333333274</v>
      </c>
      <c r="E45" s="33">
        <f ca="1">Графік!H40</f>
        <v>28173.519999999997</v>
      </c>
      <c r="F45" s="32">
        <f>Графік!F40</f>
        <v>16666.669999999998</v>
      </c>
      <c r="G45" s="33">
        <f ca="1">Графік!G40</f>
        <v>11506.85</v>
      </c>
      <c r="H45" s="33" t="str">
        <f>Графік!M40</f>
        <v/>
      </c>
      <c r="I45" s="33"/>
      <c r="J45" s="53" t="str">
        <f>Графік!N40</f>
        <v/>
      </c>
      <c r="K45" s="33" t="str">
        <f>Графік!I40</f>
        <v/>
      </c>
      <c r="L45" s="33" t="str">
        <f>Графік!J40</f>
        <v/>
      </c>
      <c r="M45" s="34">
        <f>Графік!K40</f>
        <v>0</v>
      </c>
      <c r="N45" s="33" t="str">
        <f>Графік!L40</f>
        <v/>
      </c>
      <c r="O45" s="36" t="str">
        <f>Графік!P40</f>
        <v/>
      </c>
      <c r="P45" s="55" t="str">
        <f>Графік!Q40</f>
        <v/>
      </c>
    </row>
    <row r="46" spans="1:16" x14ac:dyDescent="0.25">
      <c r="A46" s="29">
        <f>Графік!A41</f>
        <v>17</v>
      </c>
      <c r="B46" s="173">
        <f ca="1">Графік!C41</f>
        <v>45039</v>
      </c>
      <c r="C46" s="31">
        <f ca="1">Графік!D41</f>
        <v>31</v>
      </c>
      <c r="D46" s="32">
        <f>Графік!E41</f>
        <v>716666.6133333327</v>
      </c>
      <c r="E46" s="33">
        <f ca="1">Графік!H41</f>
        <v>29123.29</v>
      </c>
      <c r="F46" s="32">
        <f>Графік!F41</f>
        <v>16666.669999999998</v>
      </c>
      <c r="G46" s="33">
        <f ca="1">Графік!G41</f>
        <v>12456.62</v>
      </c>
      <c r="H46" s="33" t="str">
        <f>Графік!M41</f>
        <v/>
      </c>
      <c r="I46" s="33"/>
      <c r="J46" s="53" t="str">
        <f>Графік!N41</f>
        <v/>
      </c>
      <c r="K46" s="33" t="str">
        <f>Графік!I41</f>
        <v/>
      </c>
      <c r="L46" s="33" t="str">
        <f>Графік!J41</f>
        <v/>
      </c>
      <c r="M46" s="34">
        <f>Графік!K41</f>
        <v>0</v>
      </c>
      <c r="N46" s="33" t="str">
        <f>Графік!L41</f>
        <v/>
      </c>
      <c r="O46" s="36" t="str">
        <f>Графік!P41</f>
        <v/>
      </c>
      <c r="P46" s="55" t="str">
        <f>Графік!Q41</f>
        <v/>
      </c>
    </row>
    <row r="47" spans="1:16" x14ac:dyDescent="0.25">
      <c r="A47" s="29">
        <f>Графік!A42</f>
        <v>18</v>
      </c>
      <c r="B47" s="173">
        <f ca="1">Графік!C42</f>
        <v>45069</v>
      </c>
      <c r="C47" s="31">
        <f ca="1">Графік!D42</f>
        <v>30</v>
      </c>
      <c r="D47" s="32">
        <f>Графік!E42</f>
        <v>699999.94333333266</v>
      </c>
      <c r="E47" s="33">
        <f ca="1">Графік!H42</f>
        <v>28447.489999999998</v>
      </c>
      <c r="F47" s="32">
        <f>Графік!F42</f>
        <v>16666.669999999998</v>
      </c>
      <c r="G47" s="33">
        <f ca="1">Графік!G42</f>
        <v>11780.82</v>
      </c>
      <c r="H47" s="33" t="str">
        <f>Графік!M42</f>
        <v/>
      </c>
      <c r="I47" s="33"/>
      <c r="J47" s="53" t="str">
        <f>Графік!N42</f>
        <v/>
      </c>
      <c r="K47" s="33" t="str">
        <f>Графік!I42</f>
        <v/>
      </c>
      <c r="L47" s="33" t="str">
        <f>Графік!J42</f>
        <v/>
      </c>
      <c r="M47" s="34">
        <f>Графік!K42</f>
        <v>0</v>
      </c>
      <c r="N47" s="33" t="str">
        <f>Графік!L42</f>
        <v/>
      </c>
      <c r="O47" s="36" t="str">
        <f>Графік!P42</f>
        <v/>
      </c>
      <c r="P47" s="55" t="str">
        <f>Графік!Q42</f>
        <v/>
      </c>
    </row>
    <row r="48" spans="1:16" x14ac:dyDescent="0.25">
      <c r="A48" s="29">
        <f>Графік!A43</f>
        <v>19</v>
      </c>
      <c r="B48" s="173">
        <f ca="1">Графік!C43</f>
        <v>45100</v>
      </c>
      <c r="C48" s="31">
        <f ca="1">Графік!D43</f>
        <v>31</v>
      </c>
      <c r="D48" s="32">
        <f>Графік!E43</f>
        <v>683333.27333333262</v>
      </c>
      <c r="E48" s="33">
        <f ca="1">Графік!H43</f>
        <v>28557.079999999998</v>
      </c>
      <c r="F48" s="32">
        <f>Графік!F43</f>
        <v>16666.669999999998</v>
      </c>
      <c r="G48" s="33">
        <f ca="1">Графік!G43</f>
        <v>11890.41</v>
      </c>
      <c r="H48" s="33" t="str">
        <f>Графік!M43</f>
        <v/>
      </c>
      <c r="I48" s="33"/>
      <c r="J48" s="53" t="str">
        <f>Графік!N43</f>
        <v/>
      </c>
      <c r="K48" s="33" t="str">
        <f>Графік!I43</f>
        <v/>
      </c>
      <c r="L48" s="33" t="str">
        <f>Графік!J43</f>
        <v/>
      </c>
      <c r="M48" s="34">
        <f>Графік!K43</f>
        <v>0</v>
      </c>
      <c r="N48" s="33" t="str">
        <f>Графік!L43</f>
        <v/>
      </c>
      <c r="O48" s="36" t="str">
        <f>Графік!P43</f>
        <v/>
      </c>
      <c r="P48" s="55" t="str">
        <f>Графік!Q43</f>
        <v/>
      </c>
    </row>
    <row r="49" spans="1:16" x14ac:dyDescent="0.25">
      <c r="A49" s="29">
        <f>Графік!A44</f>
        <v>20</v>
      </c>
      <c r="B49" s="173">
        <f ca="1">Графік!C44</f>
        <v>45130</v>
      </c>
      <c r="C49" s="31">
        <f ca="1">Графік!D44</f>
        <v>30</v>
      </c>
      <c r="D49" s="32">
        <f>Графік!E44</f>
        <v>666666.60333333258</v>
      </c>
      <c r="E49" s="33">
        <f ca="1">Графік!H44</f>
        <v>27899.549999999996</v>
      </c>
      <c r="F49" s="32">
        <f>Графік!F44</f>
        <v>16666.669999999998</v>
      </c>
      <c r="G49" s="33">
        <f ca="1">Графік!G44</f>
        <v>11232.88</v>
      </c>
      <c r="H49" s="33" t="str">
        <f>Графік!M44</f>
        <v/>
      </c>
      <c r="I49" s="33"/>
      <c r="J49" s="53" t="str">
        <f>Графік!N44</f>
        <v/>
      </c>
      <c r="K49" s="33" t="str">
        <f>Графік!I44</f>
        <v/>
      </c>
      <c r="L49" s="33" t="str">
        <f>Графік!J44</f>
        <v/>
      </c>
      <c r="M49" s="34">
        <f>Графік!K44</f>
        <v>0</v>
      </c>
      <c r="N49" s="33" t="str">
        <f>Графік!L44</f>
        <v/>
      </c>
      <c r="O49" s="36" t="str">
        <f>Графік!P44</f>
        <v/>
      </c>
      <c r="P49" s="55" t="str">
        <f>Графік!Q44</f>
        <v/>
      </c>
    </row>
    <row r="50" spans="1:16" x14ac:dyDescent="0.25">
      <c r="A50" s="29">
        <f>Графік!A45</f>
        <v>21</v>
      </c>
      <c r="B50" s="173">
        <f ca="1">Графік!C45</f>
        <v>45161</v>
      </c>
      <c r="C50" s="31">
        <f ca="1">Графік!D45</f>
        <v>31</v>
      </c>
      <c r="D50" s="32">
        <f>Графік!E45</f>
        <v>649999.93333333253</v>
      </c>
      <c r="E50" s="33">
        <f ca="1">Графік!H45</f>
        <v>27990.87</v>
      </c>
      <c r="F50" s="32">
        <f>Графік!F45</f>
        <v>16666.669999999998</v>
      </c>
      <c r="G50" s="33">
        <f ca="1">Графік!G45</f>
        <v>11324.2</v>
      </c>
      <c r="H50" s="33" t="str">
        <f>Графік!M45</f>
        <v/>
      </c>
      <c r="I50" s="33"/>
      <c r="J50" s="53" t="str">
        <f>Графік!N45</f>
        <v/>
      </c>
      <c r="K50" s="33" t="str">
        <f>Графік!I45</f>
        <v/>
      </c>
      <c r="L50" s="33" t="str">
        <f>Графік!J45</f>
        <v/>
      </c>
      <c r="M50" s="34">
        <f>Графік!K45</f>
        <v>0</v>
      </c>
      <c r="N50" s="33" t="str">
        <f>Графік!L45</f>
        <v/>
      </c>
      <c r="O50" s="36" t="str">
        <f>Графік!P45</f>
        <v/>
      </c>
      <c r="P50" s="55" t="str">
        <f>Графік!Q45</f>
        <v/>
      </c>
    </row>
    <row r="51" spans="1:16" x14ac:dyDescent="0.25">
      <c r="A51" s="29">
        <f>Графік!A46</f>
        <v>22</v>
      </c>
      <c r="B51" s="173">
        <f ca="1">Графік!C46</f>
        <v>45192</v>
      </c>
      <c r="C51" s="31">
        <f ca="1">Графік!D46</f>
        <v>31</v>
      </c>
      <c r="D51" s="32">
        <f>Графік!E46</f>
        <v>633333.26333333249</v>
      </c>
      <c r="E51" s="33">
        <f ca="1">Графік!H46</f>
        <v>27707.759999999998</v>
      </c>
      <c r="F51" s="32">
        <f>Графік!F46</f>
        <v>16666.669999999998</v>
      </c>
      <c r="G51" s="33">
        <f ca="1">Графік!G46</f>
        <v>11041.09</v>
      </c>
      <c r="H51" s="33" t="str">
        <f>Графік!M46</f>
        <v/>
      </c>
      <c r="I51" s="33"/>
      <c r="J51" s="53" t="str">
        <f>Графік!N46</f>
        <v/>
      </c>
      <c r="K51" s="33" t="str">
        <f>Графік!I46</f>
        <v/>
      </c>
      <c r="L51" s="33" t="str">
        <f>Графік!J46</f>
        <v/>
      </c>
      <c r="M51" s="34">
        <f>Графік!K46</f>
        <v>0</v>
      </c>
      <c r="N51" s="33" t="str">
        <f>Графік!L46</f>
        <v/>
      </c>
      <c r="O51" s="36" t="str">
        <f>Графік!P46</f>
        <v/>
      </c>
      <c r="P51" s="55" t="str">
        <f>Графік!Q46</f>
        <v/>
      </c>
    </row>
    <row r="52" spans="1:16" x14ac:dyDescent="0.25">
      <c r="A52" s="29">
        <f>Графік!A47</f>
        <v>23</v>
      </c>
      <c r="B52" s="173">
        <f ca="1">Графік!C47</f>
        <v>45222</v>
      </c>
      <c r="C52" s="31">
        <f ca="1">Графік!D47</f>
        <v>30</v>
      </c>
      <c r="D52" s="32">
        <f>Графік!E47</f>
        <v>616666.59333333245</v>
      </c>
      <c r="E52" s="33">
        <f ca="1">Графік!H47</f>
        <v>27077.629999999997</v>
      </c>
      <c r="F52" s="32">
        <f>Графік!F47</f>
        <v>16666.669999999998</v>
      </c>
      <c r="G52" s="33">
        <f ca="1">Графік!G47</f>
        <v>10410.959999999999</v>
      </c>
      <c r="H52" s="33" t="str">
        <f>Графік!M47</f>
        <v/>
      </c>
      <c r="I52" s="33"/>
      <c r="J52" s="53" t="str">
        <f>Графік!N47</f>
        <v/>
      </c>
      <c r="K52" s="33" t="str">
        <f>Графік!I47</f>
        <v/>
      </c>
      <c r="L52" s="33" t="str">
        <f>Графік!J47</f>
        <v/>
      </c>
      <c r="M52" s="34">
        <f>Графік!K47</f>
        <v>0</v>
      </c>
      <c r="N52" s="33" t="str">
        <f>Графік!L47</f>
        <v/>
      </c>
      <c r="O52" s="36" t="str">
        <f>Графік!P47</f>
        <v/>
      </c>
      <c r="P52" s="55" t="str">
        <f>Графік!Q47</f>
        <v/>
      </c>
    </row>
    <row r="53" spans="1:16" x14ac:dyDescent="0.25">
      <c r="A53" s="29">
        <f>Графік!A48</f>
        <v>24</v>
      </c>
      <c r="B53" s="173">
        <f ca="1">Графік!C48</f>
        <v>45253</v>
      </c>
      <c r="C53" s="31">
        <f ca="1">Графік!D48</f>
        <v>31</v>
      </c>
      <c r="D53" s="32">
        <f>Графік!E48</f>
        <v>599999.92333333241</v>
      </c>
      <c r="E53" s="33">
        <f ca="1">Графік!H48</f>
        <v>27141.549999999996</v>
      </c>
      <c r="F53" s="32">
        <f>Графік!F48</f>
        <v>16666.669999999998</v>
      </c>
      <c r="G53" s="33">
        <f ca="1">Графік!G48</f>
        <v>10474.879999999999</v>
      </c>
      <c r="H53" s="33" t="str">
        <f>Графік!M48</f>
        <v/>
      </c>
      <c r="I53" s="33"/>
      <c r="J53" s="53" t="str">
        <f>Графік!N48</f>
        <v/>
      </c>
      <c r="K53" s="33" t="str">
        <f>Графік!I48</f>
        <v/>
      </c>
      <c r="L53" s="33" t="str">
        <f>Графік!J48</f>
        <v/>
      </c>
      <c r="M53" s="34">
        <f>Графік!K48</f>
        <v>0</v>
      </c>
      <c r="N53" s="33" t="str">
        <f>Графік!L48</f>
        <v/>
      </c>
      <c r="O53" s="36" t="str">
        <f>Графік!P48</f>
        <v/>
      </c>
      <c r="P53" s="55" t="str">
        <f>Графік!Q48</f>
        <v/>
      </c>
    </row>
    <row r="54" spans="1:16" x14ac:dyDescent="0.25">
      <c r="A54" s="29">
        <f>Графік!A49</f>
        <v>25</v>
      </c>
      <c r="B54" s="173">
        <f ca="1">Графік!C49</f>
        <v>45283</v>
      </c>
      <c r="C54" s="31">
        <f ca="1">Графік!D49</f>
        <v>30</v>
      </c>
      <c r="D54" s="32">
        <f>Графік!E49</f>
        <v>583333.25333333237</v>
      </c>
      <c r="E54" s="33">
        <f ca="1">Графік!H49</f>
        <v>26529.68</v>
      </c>
      <c r="F54" s="32">
        <f>Графік!F49</f>
        <v>16666.669999999998</v>
      </c>
      <c r="G54" s="33">
        <f ca="1">Графік!G49</f>
        <v>9863.01</v>
      </c>
      <c r="H54" s="33" t="str">
        <f>Графік!M49</f>
        <v/>
      </c>
      <c r="I54" s="33"/>
      <c r="J54" s="53">
        <f>Графік!N49</f>
        <v>0</v>
      </c>
      <c r="K54" s="33" t="str">
        <f>Графік!I49</f>
        <v/>
      </c>
      <c r="L54" s="33" t="str">
        <f>Графік!J49</f>
        <v/>
      </c>
      <c r="M54" s="33">
        <f>Графік!K49</f>
        <v>7250</v>
      </c>
      <c r="N54" s="33" t="str">
        <f>Графік!L49</f>
        <v/>
      </c>
      <c r="O54" s="36" t="str">
        <f>Графік!P49</f>
        <v/>
      </c>
      <c r="P54" s="55" t="str">
        <f>Графік!Q49</f>
        <v/>
      </c>
    </row>
    <row r="55" spans="1:16" x14ac:dyDescent="0.25">
      <c r="A55" s="29">
        <f>Графік!A50</f>
        <v>26</v>
      </c>
      <c r="B55" s="173">
        <f ca="1">Графік!C50</f>
        <v>45314</v>
      </c>
      <c r="C55" s="31">
        <f ca="1">Графік!D50</f>
        <v>31</v>
      </c>
      <c r="D55" s="32">
        <f>Графік!E50</f>
        <v>566666.58333333232</v>
      </c>
      <c r="E55" s="33">
        <f ca="1">Графік!H50</f>
        <v>26556.129999999997</v>
      </c>
      <c r="F55" s="32">
        <f>Графік!F50</f>
        <v>16666.669999999998</v>
      </c>
      <c r="G55" s="33">
        <f ca="1">Графік!G50</f>
        <v>9889.4599999999991</v>
      </c>
      <c r="H55" s="33" t="str">
        <f>Графік!M50</f>
        <v/>
      </c>
      <c r="I55" s="33"/>
      <c r="J55" s="53" t="str">
        <f>Графік!N50</f>
        <v/>
      </c>
      <c r="K55" s="33" t="str">
        <f>Графік!I50</f>
        <v/>
      </c>
      <c r="L55" s="33" t="str">
        <f>Графік!J50</f>
        <v/>
      </c>
      <c r="M55" s="34">
        <f>Графік!K50</f>
        <v>0</v>
      </c>
      <c r="N55" s="33" t="str">
        <f>Графік!L50</f>
        <v/>
      </c>
      <c r="O55" s="36" t="str">
        <f>Графік!P50</f>
        <v/>
      </c>
      <c r="P55" s="55" t="str">
        <f>Графік!Q50</f>
        <v/>
      </c>
    </row>
    <row r="56" spans="1:16" x14ac:dyDescent="0.25">
      <c r="A56" s="29">
        <f>Графік!A51</f>
        <v>27</v>
      </c>
      <c r="B56" s="173">
        <f ca="1">Графік!C51</f>
        <v>45345</v>
      </c>
      <c r="C56" s="31">
        <f ca="1">Графік!D51</f>
        <v>31</v>
      </c>
      <c r="D56" s="32">
        <f>Графік!E51</f>
        <v>549999.91333333228</v>
      </c>
      <c r="E56" s="33">
        <f ca="1">Графік!H51</f>
        <v>26265.94</v>
      </c>
      <c r="F56" s="32">
        <f>Графік!F51</f>
        <v>16666.669999999998</v>
      </c>
      <c r="G56" s="33">
        <f ca="1">Графік!G51</f>
        <v>9599.27</v>
      </c>
      <c r="H56" s="33" t="str">
        <f>Графік!M51</f>
        <v/>
      </c>
      <c r="I56" s="33"/>
      <c r="J56" s="53" t="str">
        <f>Графік!N51</f>
        <v/>
      </c>
      <c r="K56" s="33" t="str">
        <f>Графік!I51</f>
        <v/>
      </c>
      <c r="L56" s="33" t="str">
        <f>Графік!J51</f>
        <v/>
      </c>
      <c r="M56" s="34">
        <f>Графік!K51</f>
        <v>0</v>
      </c>
      <c r="N56" s="33" t="str">
        <f>Графік!L51</f>
        <v/>
      </c>
      <c r="O56" s="36" t="str">
        <f>Графік!P51</f>
        <v/>
      </c>
      <c r="P56" s="55" t="str">
        <f>Графік!Q51</f>
        <v/>
      </c>
    </row>
    <row r="57" spans="1:16" x14ac:dyDescent="0.25">
      <c r="A57" s="29">
        <f>Графік!A52</f>
        <v>28</v>
      </c>
      <c r="B57" s="173">
        <f ca="1">Графік!C52</f>
        <v>45374</v>
      </c>
      <c r="C57" s="31">
        <f ca="1">Графік!D52</f>
        <v>29</v>
      </c>
      <c r="D57" s="32">
        <f>Графік!E52</f>
        <v>533333.24333333224</v>
      </c>
      <c r="E57" s="33">
        <f ca="1">Графік!H52</f>
        <v>25382.519999999997</v>
      </c>
      <c r="F57" s="32">
        <f>Графік!F52</f>
        <v>16666.669999999998</v>
      </c>
      <c r="G57" s="33">
        <f ca="1">Графік!G52</f>
        <v>8715.85</v>
      </c>
      <c r="H57" s="33" t="str">
        <f>Графік!M52</f>
        <v/>
      </c>
      <c r="I57" s="33"/>
      <c r="J57" s="53" t="str">
        <f>Графік!N52</f>
        <v/>
      </c>
      <c r="K57" s="33" t="str">
        <f>Графік!I52</f>
        <v/>
      </c>
      <c r="L57" s="33" t="str">
        <f>Графік!J52</f>
        <v/>
      </c>
      <c r="M57" s="34">
        <f>Графік!K52</f>
        <v>0</v>
      </c>
      <c r="N57" s="33" t="str">
        <f>Графік!L52</f>
        <v/>
      </c>
      <c r="O57" s="36" t="str">
        <f>Графік!P52</f>
        <v/>
      </c>
      <c r="P57" s="55" t="str">
        <f>Графік!Q52</f>
        <v/>
      </c>
    </row>
    <row r="58" spans="1:16" x14ac:dyDescent="0.25">
      <c r="A58" s="29">
        <f>Графік!A53</f>
        <v>29</v>
      </c>
      <c r="B58" s="173">
        <f ca="1">Графік!C53</f>
        <v>45405</v>
      </c>
      <c r="C58" s="31">
        <f ca="1">Графік!D53</f>
        <v>31</v>
      </c>
      <c r="D58" s="32">
        <f>Графік!E53</f>
        <v>516666.57333333226</v>
      </c>
      <c r="E58" s="33">
        <f ca="1">Графік!H53</f>
        <v>25701.279999999999</v>
      </c>
      <c r="F58" s="32">
        <f>Графік!F53</f>
        <v>16666.669999999998</v>
      </c>
      <c r="G58" s="33">
        <f ca="1">Графік!G53</f>
        <v>9034.61</v>
      </c>
      <c r="H58" s="33" t="str">
        <f>Графік!M53</f>
        <v/>
      </c>
      <c r="I58" s="33"/>
      <c r="J58" s="53" t="str">
        <f>Графік!N53</f>
        <v/>
      </c>
      <c r="K58" s="33" t="str">
        <f>Графік!I53</f>
        <v/>
      </c>
      <c r="L58" s="33" t="str">
        <f>Графік!J53</f>
        <v/>
      </c>
      <c r="M58" s="34">
        <f>Графік!K53</f>
        <v>0</v>
      </c>
      <c r="N58" s="33" t="str">
        <f>Графік!L53</f>
        <v/>
      </c>
      <c r="O58" s="36" t="str">
        <f>Графік!P53</f>
        <v/>
      </c>
      <c r="P58" s="55" t="str">
        <f>Графік!Q53</f>
        <v/>
      </c>
    </row>
    <row r="59" spans="1:16" x14ac:dyDescent="0.25">
      <c r="A59" s="29">
        <f>Графік!A54</f>
        <v>30</v>
      </c>
      <c r="B59" s="173">
        <f ca="1">Графік!C54</f>
        <v>45435</v>
      </c>
      <c r="C59" s="31">
        <f ca="1">Графік!D54</f>
        <v>30</v>
      </c>
      <c r="D59" s="32">
        <f>Графік!E54</f>
        <v>499999.90333333227</v>
      </c>
      <c r="E59" s="33">
        <f ca="1">Графік!H54</f>
        <v>25136.61</v>
      </c>
      <c r="F59" s="32">
        <f>Графік!F54</f>
        <v>16666.669999999998</v>
      </c>
      <c r="G59" s="33">
        <f ca="1">Графік!G54</f>
        <v>8469.94</v>
      </c>
      <c r="H59" s="33" t="str">
        <f>Графік!M54</f>
        <v/>
      </c>
      <c r="I59" s="33"/>
      <c r="J59" s="53" t="str">
        <f>Графік!N54</f>
        <v/>
      </c>
      <c r="K59" s="33" t="str">
        <f>Графік!I54</f>
        <v/>
      </c>
      <c r="L59" s="33" t="str">
        <f>Графік!J54</f>
        <v/>
      </c>
      <c r="M59" s="34">
        <f>Графік!K54</f>
        <v>0</v>
      </c>
      <c r="N59" s="33" t="str">
        <f>Графік!L54</f>
        <v/>
      </c>
      <c r="O59" s="36" t="str">
        <f>Графік!P54</f>
        <v/>
      </c>
      <c r="P59" s="55" t="str">
        <f>Графік!Q54</f>
        <v/>
      </c>
    </row>
    <row r="60" spans="1:16" x14ac:dyDescent="0.25">
      <c r="A60" s="29">
        <f>Графік!A55</f>
        <v>31</v>
      </c>
      <c r="B60" s="173">
        <f ca="1">Графік!C55</f>
        <v>45466</v>
      </c>
      <c r="C60" s="31">
        <f ca="1">Графік!D55</f>
        <v>31</v>
      </c>
      <c r="D60" s="32">
        <f>Графік!E55</f>
        <v>483333.23333333229</v>
      </c>
      <c r="E60" s="33">
        <f ca="1">Графік!H55</f>
        <v>25136.61</v>
      </c>
      <c r="F60" s="32">
        <f>Графік!F55</f>
        <v>16666.669999999998</v>
      </c>
      <c r="G60" s="33">
        <f ca="1">Графік!G55</f>
        <v>8469.94</v>
      </c>
      <c r="H60" s="33" t="str">
        <f>Графік!M55</f>
        <v/>
      </c>
      <c r="I60" s="33"/>
      <c r="J60" s="53" t="str">
        <f>Графік!N55</f>
        <v/>
      </c>
      <c r="K60" s="33" t="str">
        <f>Графік!I55</f>
        <v/>
      </c>
      <c r="L60" s="33" t="str">
        <f>Графік!J55</f>
        <v/>
      </c>
      <c r="M60" s="34">
        <f>Графік!K55</f>
        <v>0</v>
      </c>
      <c r="N60" s="33" t="str">
        <f>Графік!L55</f>
        <v/>
      </c>
      <c r="O60" s="36" t="str">
        <f>Графік!P55</f>
        <v/>
      </c>
      <c r="P60" s="55" t="str">
        <f>Графік!Q55</f>
        <v/>
      </c>
    </row>
    <row r="61" spans="1:16" x14ac:dyDescent="0.25">
      <c r="A61" s="29">
        <f>Графік!A56</f>
        <v>32</v>
      </c>
      <c r="B61" s="173">
        <f ca="1">Графік!C56</f>
        <v>45496</v>
      </c>
      <c r="C61" s="31">
        <f ca="1">Графік!D56</f>
        <v>30</v>
      </c>
      <c r="D61" s="32">
        <f>Графік!E56</f>
        <v>466666.56333333231</v>
      </c>
      <c r="E61" s="33">
        <f ca="1">Графік!H56</f>
        <v>24590.17</v>
      </c>
      <c r="F61" s="32">
        <f>Графік!F56</f>
        <v>16666.669999999998</v>
      </c>
      <c r="G61" s="33">
        <f ca="1">Графік!G56</f>
        <v>7923.5</v>
      </c>
      <c r="H61" s="33" t="str">
        <f>Графік!M56</f>
        <v/>
      </c>
      <c r="I61" s="33"/>
      <c r="J61" s="53" t="str">
        <f>Графік!N56</f>
        <v/>
      </c>
      <c r="K61" s="33" t="str">
        <f>Графік!I56</f>
        <v/>
      </c>
      <c r="L61" s="33" t="str">
        <f>Графік!J56</f>
        <v/>
      </c>
      <c r="M61" s="34">
        <f>Графік!K56</f>
        <v>0</v>
      </c>
      <c r="N61" s="33" t="str">
        <f>Графік!L56</f>
        <v/>
      </c>
      <c r="O61" s="36" t="str">
        <f>Графік!P56</f>
        <v/>
      </c>
      <c r="P61" s="55" t="str">
        <f>Графік!Q56</f>
        <v/>
      </c>
    </row>
    <row r="62" spans="1:16" x14ac:dyDescent="0.25">
      <c r="A62" s="29">
        <f>Графік!A57</f>
        <v>33</v>
      </c>
      <c r="B62" s="173">
        <f ca="1">Графік!C57</f>
        <v>45527</v>
      </c>
      <c r="C62" s="31">
        <f ca="1">Графік!D57</f>
        <v>31</v>
      </c>
      <c r="D62" s="32">
        <f>Графік!E57</f>
        <v>449999.89333333232</v>
      </c>
      <c r="E62" s="33">
        <f ca="1">Графік!H57</f>
        <v>24571.949999999997</v>
      </c>
      <c r="F62" s="32">
        <f>Графік!F57</f>
        <v>16666.669999999998</v>
      </c>
      <c r="G62" s="33">
        <f ca="1">Графік!G57</f>
        <v>7905.28</v>
      </c>
      <c r="H62" s="33" t="str">
        <f>Графік!M57</f>
        <v/>
      </c>
      <c r="I62" s="33"/>
      <c r="J62" s="53" t="str">
        <f>Графік!N57</f>
        <v/>
      </c>
      <c r="K62" s="33" t="str">
        <f>Графік!I57</f>
        <v/>
      </c>
      <c r="L62" s="33" t="str">
        <f>Графік!J57</f>
        <v/>
      </c>
      <c r="M62" s="34">
        <f>Графік!K57</f>
        <v>0</v>
      </c>
      <c r="N62" s="33" t="str">
        <f>Графік!L57</f>
        <v/>
      </c>
      <c r="O62" s="36" t="str">
        <f>Графік!P57</f>
        <v/>
      </c>
      <c r="P62" s="55" t="str">
        <f>Графік!Q57</f>
        <v/>
      </c>
    </row>
    <row r="63" spans="1:16" x14ac:dyDescent="0.25">
      <c r="A63" s="29">
        <f>Графік!A58</f>
        <v>34</v>
      </c>
      <c r="B63" s="173">
        <f ca="1">Графік!C58</f>
        <v>45558</v>
      </c>
      <c r="C63" s="31">
        <f ca="1">Графік!D58</f>
        <v>31</v>
      </c>
      <c r="D63" s="32">
        <f>Графік!E58</f>
        <v>433333.22333333234</v>
      </c>
      <c r="E63" s="33">
        <f ca="1">Графік!H58</f>
        <v>24289.62</v>
      </c>
      <c r="F63" s="32">
        <f>Графік!F58</f>
        <v>16666.669999999998</v>
      </c>
      <c r="G63" s="33">
        <f ca="1">Графік!G58</f>
        <v>7622.95</v>
      </c>
      <c r="H63" s="33" t="str">
        <f>Графік!M58</f>
        <v/>
      </c>
      <c r="I63" s="33"/>
      <c r="J63" s="53" t="str">
        <f>Графік!N58</f>
        <v/>
      </c>
      <c r="K63" s="33" t="str">
        <f>Графік!I58</f>
        <v/>
      </c>
      <c r="L63" s="33" t="str">
        <f>Графік!J58</f>
        <v/>
      </c>
      <c r="M63" s="34">
        <f>Графік!K58</f>
        <v>0</v>
      </c>
      <c r="N63" s="33" t="str">
        <f>Графік!L58</f>
        <v/>
      </c>
      <c r="O63" s="36" t="str">
        <f>Графік!P58</f>
        <v/>
      </c>
      <c r="P63" s="55" t="str">
        <f>Графік!Q58</f>
        <v/>
      </c>
    </row>
    <row r="64" spans="1:16" x14ac:dyDescent="0.25">
      <c r="A64" s="29">
        <f>Графік!A59</f>
        <v>35</v>
      </c>
      <c r="B64" s="173">
        <f ca="1">Графік!C59</f>
        <v>45588</v>
      </c>
      <c r="C64" s="31">
        <f ca="1">Графік!D59</f>
        <v>30</v>
      </c>
      <c r="D64" s="32">
        <f>Графік!E59</f>
        <v>416666.55333333235</v>
      </c>
      <c r="E64" s="33">
        <f ca="1">Графік!H59</f>
        <v>23770.489999999998</v>
      </c>
      <c r="F64" s="32">
        <f>Графік!F59</f>
        <v>16666.669999999998</v>
      </c>
      <c r="G64" s="33">
        <f ca="1">Графік!G59</f>
        <v>7103.82</v>
      </c>
      <c r="H64" s="33" t="str">
        <f>Графік!M59</f>
        <v/>
      </c>
      <c r="I64" s="33"/>
      <c r="J64" s="53" t="str">
        <f>Графік!N59</f>
        <v/>
      </c>
      <c r="K64" s="33" t="str">
        <f>Графік!I59</f>
        <v/>
      </c>
      <c r="L64" s="33" t="str">
        <f>Графік!J59</f>
        <v/>
      </c>
      <c r="M64" s="34">
        <f>Графік!K59</f>
        <v>0</v>
      </c>
      <c r="N64" s="33" t="str">
        <f>Графік!L59</f>
        <v/>
      </c>
      <c r="O64" s="36" t="str">
        <f>Графік!P59</f>
        <v/>
      </c>
      <c r="P64" s="55" t="str">
        <f>Графік!Q59</f>
        <v/>
      </c>
    </row>
    <row r="65" spans="1:16" x14ac:dyDescent="0.25">
      <c r="A65" s="29">
        <f>Графік!A60</f>
        <v>36</v>
      </c>
      <c r="B65" s="173">
        <f ca="1">Графік!C60</f>
        <v>45619</v>
      </c>
      <c r="C65" s="31">
        <f ca="1">Графік!D60</f>
        <v>31</v>
      </c>
      <c r="D65" s="32">
        <f>Графік!E60</f>
        <v>399999.88333333237</v>
      </c>
      <c r="E65" s="33">
        <f ca="1">Графік!H60</f>
        <v>23724.959999999999</v>
      </c>
      <c r="F65" s="32">
        <f>Графік!F60</f>
        <v>16666.669999999998</v>
      </c>
      <c r="G65" s="33">
        <f ca="1">Графік!G60</f>
        <v>7058.29</v>
      </c>
      <c r="H65" s="33" t="str">
        <f>Графік!M60</f>
        <v/>
      </c>
      <c r="I65" s="33"/>
      <c r="J65" s="53" t="str">
        <f>Графік!N60</f>
        <v/>
      </c>
      <c r="K65" s="33" t="str">
        <f>Графік!I60</f>
        <v/>
      </c>
      <c r="L65" s="33" t="str">
        <f>Графік!J60</f>
        <v/>
      </c>
      <c r="M65" s="34">
        <f>Графік!K60</f>
        <v>0</v>
      </c>
      <c r="N65" s="33" t="str">
        <f>Графік!L60</f>
        <v/>
      </c>
      <c r="O65" s="36" t="str">
        <f>Графік!P60</f>
        <v/>
      </c>
      <c r="P65" s="55" t="str">
        <f>Графік!Q60</f>
        <v/>
      </c>
    </row>
    <row r="66" spans="1:16" x14ac:dyDescent="0.25">
      <c r="A66" s="29">
        <f>Графік!A61</f>
        <v>37</v>
      </c>
      <c r="B66" s="173">
        <f ca="1">Графік!C61</f>
        <v>45649</v>
      </c>
      <c r="C66" s="31">
        <f ca="1">Графік!D61</f>
        <v>30</v>
      </c>
      <c r="D66" s="32">
        <f>Графік!E61</f>
        <v>383333.21333333239</v>
      </c>
      <c r="E66" s="33">
        <f ca="1">Графік!H61</f>
        <v>23224.05</v>
      </c>
      <c r="F66" s="32">
        <f>Графік!F61</f>
        <v>16666.669999999998</v>
      </c>
      <c r="G66" s="33">
        <f ca="1">Графік!G61</f>
        <v>6557.38</v>
      </c>
      <c r="H66" s="33" t="str">
        <f>Графік!M61</f>
        <v/>
      </c>
      <c r="I66" s="33"/>
      <c r="J66" s="53">
        <f>Графік!N61</f>
        <v>0</v>
      </c>
      <c r="K66" s="33" t="str">
        <f>Графік!I61</f>
        <v/>
      </c>
      <c r="L66" s="33" t="str">
        <f>Графік!J61</f>
        <v/>
      </c>
      <c r="M66" s="33">
        <f>Графік!K61</f>
        <v>7250</v>
      </c>
      <c r="N66" s="33" t="str">
        <f>Графік!L61</f>
        <v/>
      </c>
      <c r="O66" s="36" t="str">
        <f>Графік!P61</f>
        <v/>
      </c>
      <c r="P66" s="55" t="str">
        <f>Графік!Q61</f>
        <v/>
      </c>
    </row>
    <row r="67" spans="1:16" x14ac:dyDescent="0.25">
      <c r="A67" s="29">
        <f>Графік!A62</f>
        <v>38</v>
      </c>
      <c r="B67" s="173">
        <f ca="1">Графік!C62</f>
        <v>45680</v>
      </c>
      <c r="C67" s="31">
        <f ca="1">Графік!D62</f>
        <v>31</v>
      </c>
      <c r="D67" s="32">
        <f>Графік!E62</f>
        <v>366666.5433333324</v>
      </c>
      <c r="E67" s="33">
        <f ca="1">Графік!H62</f>
        <v>23172.92</v>
      </c>
      <c r="F67" s="32">
        <f>Графік!F62</f>
        <v>16666.669999999998</v>
      </c>
      <c r="G67" s="33">
        <f ca="1">Графік!G62</f>
        <v>6506.25</v>
      </c>
      <c r="H67" s="33" t="str">
        <f>Графік!M62</f>
        <v/>
      </c>
      <c r="I67" s="33"/>
      <c r="J67" s="53" t="str">
        <f>Графік!N62</f>
        <v/>
      </c>
      <c r="K67" s="33" t="str">
        <f>Графік!I62</f>
        <v/>
      </c>
      <c r="L67" s="33" t="str">
        <f>Графік!J62</f>
        <v/>
      </c>
      <c r="M67" s="34">
        <f>Графік!K62</f>
        <v>0</v>
      </c>
      <c r="N67" s="33" t="str">
        <f>Графік!L62</f>
        <v/>
      </c>
      <c r="O67" s="36" t="str">
        <f>Графік!P62</f>
        <v/>
      </c>
      <c r="P67" s="55" t="str">
        <f>Графік!Q62</f>
        <v/>
      </c>
    </row>
    <row r="68" spans="1:16" x14ac:dyDescent="0.25">
      <c r="A68" s="29">
        <f>Графік!A63</f>
        <v>39</v>
      </c>
      <c r="B68" s="173">
        <f ca="1">Графік!C63</f>
        <v>45711</v>
      </c>
      <c r="C68" s="31">
        <f ca="1">Графік!D63</f>
        <v>31</v>
      </c>
      <c r="D68" s="32">
        <f>Графік!E63</f>
        <v>349999.87333333242</v>
      </c>
      <c r="E68" s="33">
        <f ca="1">Графік!H63</f>
        <v>22894.98</v>
      </c>
      <c r="F68" s="32">
        <f>Графік!F63</f>
        <v>16666.669999999998</v>
      </c>
      <c r="G68" s="33">
        <f ca="1">Графік!G63</f>
        <v>6228.31</v>
      </c>
      <c r="H68" s="33" t="str">
        <f>Графік!M63</f>
        <v/>
      </c>
      <c r="I68" s="33"/>
      <c r="J68" s="53" t="str">
        <f>Графік!N63</f>
        <v/>
      </c>
      <c r="K68" s="33" t="str">
        <f>Графік!I63</f>
        <v/>
      </c>
      <c r="L68" s="33" t="str">
        <f>Графік!J63</f>
        <v/>
      </c>
      <c r="M68" s="34">
        <f>Графік!K63</f>
        <v>0</v>
      </c>
      <c r="N68" s="33" t="str">
        <f>Графік!L63</f>
        <v/>
      </c>
      <c r="O68" s="36" t="str">
        <f>Графік!P63</f>
        <v/>
      </c>
      <c r="P68" s="55" t="str">
        <f>Графік!Q63</f>
        <v/>
      </c>
    </row>
    <row r="69" spans="1:16" x14ac:dyDescent="0.25">
      <c r="A69" s="29">
        <f>Графік!A64</f>
        <v>40</v>
      </c>
      <c r="B69" s="173">
        <f ca="1">Графік!C64</f>
        <v>45739</v>
      </c>
      <c r="C69" s="31">
        <f ca="1">Графік!D64</f>
        <v>28</v>
      </c>
      <c r="D69" s="32">
        <f>Графік!E64</f>
        <v>333333.20333333244</v>
      </c>
      <c r="E69" s="33">
        <f ca="1">Графік!H64</f>
        <v>22036.53</v>
      </c>
      <c r="F69" s="32">
        <f>Графік!F64</f>
        <v>16666.669999999998</v>
      </c>
      <c r="G69" s="33">
        <f ca="1">Графік!G64</f>
        <v>5369.86</v>
      </c>
      <c r="H69" s="33" t="str">
        <f>Графік!M64</f>
        <v/>
      </c>
      <c r="I69" s="33"/>
      <c r="J69" s="53" t="str">
        <f>Графік!N64</f>
        <v/>
      </c>
      <c r="K69" s="33" t="str">
        <f>Графік!I64</f>
        <v/>
      </c>
      <c r="L69" s="33" t="str">
        <f>Графік!J64</f>
        <v/>
      </c>
      <c r="M69" s="34">
        <f>Графік!K64</f>
        <v>0</v>
      </c>
      <c r="N69" s="33" t="str">
        <f>Графік!L64</f>
        <v/>
      </c>
      <c r="O69" s="36" t="str">
        <f>Графік!P64</f>
        <v/>
      </c>
      <c r="P69" s="55" t="str">
        <f>Графік!Q64</f>
        <v/>
      </c>
    </row>
    <row r="70" spans="1:16" x14ac:dyDescent="0.25">
      <c r="A70" s="29">
        <f>Графік!A65</f>
        <v>41</v>
      </c>
      <c r="B70" s="173">
        <f ca="1">Графік!C65</f>
        <v>45770</v>
      </c>
      <c r="C70" s="31">
        <f ca="1">Графік!D65</f>
        <v>31</v>
      </c>
      <c r="D70" s="32">
        <f>Графік!E65</f>
        <v>316666.53333333245</v>
      </c>
      <c r="E70" s="33">
        <f ca="1">Графік!H65</f>
        <v>22328.769999999997</v>
      </c>
      <c r="F70" s="32">
        <f>Графік!F65</f>
        <v>16666.669999999998</v>
      </c>
      <c r="G70" s="33">
        <f ca="1">Графік!G65</f>
        <v>5662.1</v>
      </c>
      <c r="H70" s="33" t="str">
        <f>Графік!M65</f>
        <v/>
      </c>
      <c r="I70" s="33"/>
      <c r="J70" s="53" t="str">
        <f>Графік!N65</f>
        <v/>
      </c>
      <c r="K70" s="33" t="str">
        <f>Графік!I65</f>
        <v/>
      </c>
      <c r="L70" s="33" t="str">
        <f>Графік!J65</f>
        <v/>
      </c>
      <c r="M70" s="34">
        <f>Графік!K65</f>
        <v>0</v>
      </c>
      <c r="N70" s="33" t="str">
        <f>Графік!L65</f>
        <v/>
      </c>
      <c r="O70" s="36" t="str">
        <f>Графік!P65</f>
        <v/>
      </c>
      <c r="P70" s="55" t="str">
        <f>Графік!Q65</f>
        <v/>
      </c>
    </row>
    <row r="71" spans="1:16" x14ac:dyDescent="0.25">
      <c r="A71" s="29">
        <f>Графік!A66</f>
        <v>42</v>
      </c>
      <c r="B71" s="173">
        <f ca="1">Графік!C66</f>
        <v>45800</v>
      </c>
      <c r="C71" s="31">
        <f ca="1">Графік!D66</f>
        <v>30</v>
      </c>
      <c r="D71" s="32">
        <f>Графік!E66</f>
        <v>299999.86333333247</v>
      </c>
      <c r="E71" s="33">
        <f ca="1">Графік!H66</f>
        <v>21872.149999999998</v>
      </c>
      <c r="F71" s="32">
        <f>Графік!F66</f>
        <v>16666.669999999998</v>
      </c>
      <c r="G71" s="33">
        <f ca="1">Графік!G66</f>
        <v>5205.4799999999996</v>
      </c>
      <c r="H71" s="33" t="str">
        <f>Графік!M66</f>
        <v/>
      </c>
      <c r="I71" s="33"/>
      <c r="J71" s="53" t="str">
        <f>Графік!N66</f>
        <v/>
      </c>
      <c r="K71" s="33" t="str">
        <f>Графік!I66</f>
        <v/>
      </c>
      <c r="L71" s="33" t="str">
        <f>Графік!J66</f>
        <v/>
      </c>
      <c r="M71" s="34">
        <f>Графік!K66</f>
        <v>0</v>
      </c>
      <c r="N71" s="33" t="str">
        <f>Графік!L66</f>
        <v/>
      </c>
      <c r="O71" s="36" t="str">
        <f>Графік!P66</f>
        <v/>
      </c>
      <c r="P71" s="55" t="str">
        <f>Графік!Q66</f>
        <v/>
      </c>
    </row>
    <row r="72" spans="1:16" x14ac:dyDescent="0.25">
      <c r="A72" s="29">
        <f>Графік!A67</f>
        <v>43</v>
      </c>
      <c r="B72" s="173">
        <f ca="1">Графік!C67</f>
        <v>45831</v>
      </c>
      <c r="C72" s="31">
        <f ca="1">Графік!D67</f>
        <v>31</v>
      </c>
      <c r="D72" s="32">
        <f>Графік!E67</f>
        <v>283333.19333333249</v>
      </c>
      <c r="E72" s="33">
        <f ca="1">Графік!H67</f>
        <v>21762.559999999998</v>
      </c>
      <c r="F72" s="32">
        <f>Графік!F67</f>
        <v>16666.669999999998</v>
      </c>
      <c r="G72" s="33">
        <f ca="1">Графік!G67</f>
        <v>5095.8900000000003</v>
      </c>
      <c r="H72" s="33" t="str">
        <f>Графік!M67</f>
        <v/>
      </c>
      <c r="I72" s="33"/>
      <c r="J72" s="53" t="str">
        <f>Графік!N67</f>
        <v/>
      </c>
      <c r="K72" s="33" t="str">
        <f>Графік!I67</f>
        <v/>
      </c>
      <c r="L72" s="33" t="str">
        <f>Графік!J67</f>
        <v/>
      </c>
      <c r="M72" s="34">
        <f>Графік!K67</f>
        <v>0</v>
      </c>
      <c r="N72" s="33" t="str">
        <f>Графік!L67</f>
        <v/>
      </c>
      <c r="O72" s="36" t="str">
        <f>Графік!P67</f>
        <v/>
      </c>
      <c r="P72" s="55" t="str">
        <f>Графік!Q67</f>
        <v/>
      </c>
    </row>
    <row r="73" spans="1:16" x14ac:dyDescent="0.25">
      <c r="A73" s="29">
        <f>Графік!A68</f>
        <v>44</v>
      </c>
      <c r="B73" s="173">
        <f ca="1">Графік!C68</f>
        <v>45861</v>
      </c>
      <c r="C73" s="31">
        <f ca="1">Графік!D68</f>
        <v>30</v>
      </c>
      <c r="D73" s="32">
        <f>Графік!E68</f>
        <v>266666.5233333325</v>
      </c>
      <c r="E73" s="33">
        <f ca="1">Графік!H68</f>
        <v>21324.199999999997</v>
      </c>
      <c r="F73" s="32">
        <f>Графік!F68</f>
        <v>16666.669999999998</v>
      </c>
      <c r="G73" s="33">
        <f ca="1">Графік!G68</f>
        <v>4657.53</v>
      </c>
      <c r="H73" s="33" t="str">
        <f>Графік!M68</f>
        <v/>
      </c>
      <c r="I73" s="33"/>
      <c r="J73" s="53" t="str">
        <f>Графік!N68</f>
        <v/>
      </c>
      <c r="K73" s="33" t="str">
        <f>Графік!I68</f>
        <v/>
      </c>
      <c r="L73" s="33" t="str">
        <f>Графік!J68</f>
        <v/>
      </c>
      <c r="M73" s="34">
        <f>Графік!K68</f>
        <v>0</v>
      </c>
      <c r="N73" s="33" t="str">
        <f>Графік!L68</f>
        <v/>
      </c>
      <c r="O73" s="36" t="str">
        <f>Графік!P68</f>
        <v/>
      </c>
      <c r="P73" s="55" t="str">
        <f>Графік!Q68</f>
        <v/>
      </c>
    </row>
    <row r="74" spans="1:16" x14ac:dyDescent="0.25">
      <c r="A74" s="29">
        <f>Графік!A69</f>
        <v>45</v>
      </c>
      <c r="B74" s="173">
        <f ca="1">Графік!C69</f>
        <v>45892</v>
      </c>
      <c r="C74" s="31">
        <f ca="1">Графік!D69</f>
        <v>31</v>
      </c>
      <c r="D74" s="32">
        <f>Графік!E69</f>
        <v>249999.85333333252</v>
      </c>
      <c r="E74" s="33">
        <f ca="1">Графік!H69</f>
        <v>21196.35</v>
      </c>
      <c r="F74" s="32">
        <f>Графік!F69</f>
        <v>16666.669999999998</v>
      </c>
      <c r="G74" s="33">
        <f ca="1">Графік!G69</f>
        <v>4529.68</v>
      </c>
      <c r="H74" s="33" t="str">
        <f>Графік!M69</f>
        <v/>
      </c>
      <c r="I74" s="33"/>
      <c r="J74" s="53" t="str">
        <f>Графік!N69</f>
        <v/>
      </c>
      <c r="K74" s="33" t="str">
        <f>Графік!I69</f>
        <v/>
      </c>
      <c r="L74" s="33" t="str">
        <f>Графік!J69</f>
        <v/>
      </c>
      <c r="M74" s="34">
        <f>Графік!K69</f>
        <v>0</v>
      </c>
      <c r="N74" s="33" t="str">
        <f>Графік!L69</f>
        <v/>
      </c>
      <c r="O74" s="36" t="str">
        <f>Графік!P69</f>
        <v/>
      </c>
      <c r="P74" s="55" t="str">
        <f>Графік!Q69</f>
        <v/>
      </c>
    </row>
    <row r="75" spans="1:16" x14ac:dyDescent="0.25">
      <c r="A75" s="29">
        <f>Графік!A70</f>
        <v>46</v>
      </c>
      <c r="B75" s="173">
        <f ca="1">Графік!C70</f>
        <v>45923</v>
      </c>
      <c r="C75" s="31">
        <f ca="1">Графік!D70</f>
        <v>31</v>
      </c>
      <c r="D75" s="32">
        <f>Графік!E70</f>
        <v>233333.18333333253</v>
      </c>
      <c r="E75" s="33">
        <f ca="1">Графік!H70</f>
        <v>20913.239999999998</v>
      </c>
      <c r="F75" s="32">
        <f>Графік!F70</f>
        <v>16666.669999999998</v>
      </c>
      <c r="G75" s="33">
        <f ca="1">Графік!G70</f>
        <v>4246.57</v>
      </c>
      <c r="H75" s="33" t="str">
        <f>Графік!M70</f>
        <v/>
      </c>
      <c r="I75" s="33"/>
      <c r="J75" s="53" t="str">
        <f>Графік!N70</f>
        <v/>
      </c>
      <c r="K75" s="33" t="str">
        <f>Графік!I70</f>
        <v/>
      </c>
      <c r="L75" s="33" t="str">
        <f>Графік!J70</f>
        <v/>
      </c>
      <c r="M75" s="34">
        <f>Графік!K70</f>
        <v>0</v>
      </c>
      <c r="N75" s="33" t="str">
        <f>Графік!L70</f>
        <v/>
      </c>
      <c r="O75" s="36" t="str">
        <f>Графік!P70</f>
        <v/>
      </c>
      <c r="P75" s="55" t="str">
        <f>Графік!Q70</f>
        <v/>
      </c>
    </row>
    <row r="76" spans="1:16" x14ac:dyDescent="0.25">
      <c r="A76" s="29">
        <f>Графік!A71</f>
        <v>47</v>
      </c>
      <c r="B76" s="173">
        <f ca="1">Графік!C71</f>
        <v>45953</v>
      </c>
      <c r="C76" s="31">
        <f ca="1">Графік!D71</f>
        <v>30</v>
      </c>
      <c r="D76" s="32">
        <f>Графік!E71</f>
        <v>216666.51333333255</v>
      </c>
      <c r="E76" s="33">
        <f ca="1">Графік!H71</f>
        <v>20502.28</v>
      </c>
      <c r="F76" s="32">
        <f>Графік!F71</f>
        <v>16666.669999999998</v>
      </c>
      <c r="G76" s="33">
        <f ca="1">Графік!G71</f>
        <v>3835.61</v>
      </c>
      <c r="H76" s="33" t="str">
        <f>Графік!M71</f>
        <v/>
      </c>
      <c r="I76" s="33"/>
      <c r="J76" s="53" t="str">
        <f>Графік!N71</f>
        <v/>
      </c>
      <c r="K76" s="33" t="str">
        <f>Графік!I71</f>
        <v/>
      </c>
      <c r="L76" s="33" t="str">
        <f>Графік!J71</f>
        <v/>
      </c>
      <c r="M76" s="34">
        <f>Графік!K71</f>
        <v>0</v>
      </c>
      <c r="N76" s="33" t="str">
        <f>Графік!L71</f>
        <v/>
      </c>
      <c r="O76" s="36" t="str">
        <f>Графік!P71</f>
        <v/>
      </c>
      <c r="P76" s="55" t="str">
        <f>Графік!Q71</f>
        <v/>
      </c>
    </row>
    <row r="77" spans="1:16" x14ac:dyDescent="0.25">
      <c r="A77" s="29">
        <f>Графік!A72</f>
        <v>48</v>
      </c>
      <c r="B77" s="173">
        <f ca="1">Графік!C72</f>
        <v>45984</v>
      </c>
      <c r="C77" s="31">
        <f ca="1">Графік!D72</f>
        <v>31</v>
      </c>
      <c r="D77" s="32">
        <f>Графік!E72</f>
        <v>199999.84333333257</v>
      </c>
      <c r="E77" s="33">
        <f ca="1">Графік!H72</f>
        <v>20347.03</v>
      </c>
      <c r="F77" s="32">
        <f>Графік!F72</f>
        <v>16666.669999999998</v>
      </c>
      <c r="G77" s="33">
        <f ca="1">Графік!G72</f>
        <v>3680.36</v>
      </c>
      <c r="H77" s="33" t="str">
        <f>Графік!M72</f>
        <v/>
      </c>
      <c r="I77" s="33"/>
      <c r="J77" s="53" t="str">
        <f>Графік!N72</f>
        <v/>
      </c>
      <c r="K77" s="33" t="str">
        <f>Графік!I72</f>
        <v/>
      </c>
      <c r="L77" s="33" t="str">
        <f>Графік!J72</f>
        <v/>
      </c>
      <c r="M77" s="34">
        <f>Графік!K72</f>
        <v>0</v>
      </c>
      <c r="N77" s="33" t="str">
        <f>Графік!L72</f>
        <v/>
      </c>
      <c r="O77" s="36" t="str">
        <f>Графік!P72</f>
        <v/>
      </c>
      <c r="P77" s="55" t="str">
        <f>Графік!Q72</f>
        <v/>
      </c>
    </row>
    <row r="78" spans="1:16" x14ac:dyDescent="0.25">
      <c r="A78" s="29">
        <f>Графік!A73</f>
        <v>49</v>
      </c>
      <c r="B78" s="173">
        <f ca="1">Графік!C73</f>
        <v>46014</v>
      </c>
      <c r="C78" s="31">
        <f ca="1">Графік!D73</f>
        <v>30</v>
      </c>
      <c r="D78" s="32">
        <f>Графік!E73</f>
        <v>183333.17333333258</v>
      </c>
      <c r="E78" s="33">
        <f ca="1">Графік!H73</f>
        <v>19954.339999999997</v>
      </c>
      <c r="F78" s="32">
        <f>Графік!F73</f>
        <v>16666.669999999998</v>
      </c>
      <c r="G78" s="33">
        <f ca="1">Графік!G73</f>
        <v>3287.67</v>
      </c>
      <c r="H78" s="33" t="str">
        <f>Графік!M73</f>
        <v/>
      </c>
      <c r="I78" s="33"/>
      <c r="J78" s="53">
        <f>Графік!N73</f>
        <v>0</v>
      </c>
      <c r="K78" s="33" t="str">
        <f>Графік!I73</f>
        <v/>
      </c>
      <c r="L78" s="33" t="str">
        <f>Графік!J73</f>
        <v/>
      </c>
      <c r="M78" s="33">
        <f>Графік!K73</f>
        <v>7250</v>
      </c>
      <c r="N78" s="33" t="str">
        <f>Графік!L73</f>
        <v/>
      </c>
      <c r="O78" s="36" t="str">
        <f>Графік!P73</f>
        <v/>
      </c>
      <c r="P78" s="55" t="str">
        <f>Графік!Q73</f>
        <v/>
      </c>
    </row>
    <row r="79" spans="1:16" x14ac:dyDescent="0.25">
      <c r="A79" s="29">
        <f>Графік!A74</f>
        <v>50</v>
      </c>
      <c r="B79" s="173">
        <f ca="1">Графік!C74</f>
        <v>46045</v>
      </c>
      <c r="C79" s="31">
        <f ca="1">Графік!D74</f>
        <v>31</v>
      </c>
      <c r="D79" s="32">
        <f>Графік!E74</f>
        <v>166666.5033333326</v>
      </c>
      <c r="E79" s="33">
        <f ca="1">Графік!H74</f>
        <v>19780.82</v>
      </c>
      <c r="F79" s="32">
        <f>Графік!F74</f>
        <v>16666.669999999998</v>
      </c>
      <c r="G79" s="33">
        <f ca="1">Графік!G74</f>
        <v>3114.15</v>
      </c>
      <c r="H79" s="33" t="str">
        <f>Графік!M74</f>
        <v/>
      </c>
      <c r="I79" s="33"/>
      <c r="J79" s="53" t="str">
        <f>Графік!N74</f>
        <v/>
      </c>
      <c r="K79" s="33" t="str">
        <f>Графік!I74</f>
        <v/>
      </c>
      <c r="L79" s="33" t="str">
        <f>Графік!J74</f>
        <v/>
      </c>
      <c r="M79" s="34">
        <f>Графік!K74</f>
        <v>0</v>
      </c>
      <c r="N79" s="33" t="str">
        <f>Графік!L74</f>
        <v/>
      </c>
      <c r="O79" s="36" t="str">
        <f>Графік!P74</f>
        <v/>
      </c>
      <c r="P79" s="55" t="str">
        <f>Графік!Q74</f>
        <v/>
      </c>
    </row>
    <row r="80" spans="1:16" x14ac:dyDescent="0.25">
      <c r="A80" s="29">
        <f>Графік!A75</f>
        <v>51</v>
      </c>
      <c r="B80" s="173">
        <f ca="1">Графік!C75</f>
        <v>46076</v>
      </c>
      <c r="C80" s="31">
        <f ca="1">Графік!D75</f>
        <v>31</v>
      </c>
      <c r="D80" s="32">
        <f>Графік!E75</f>
        <v>149999.83333333262</v>
      </c>
      <c r="E80" s="33">
        <f ca="1">Графік!H75</f>
        <v>19497.719999999998</v>
      </c>
      <c r="F80" s="32">
        <f>Графік!F75</f>
        <v>16666.669999999998</v>
      </c>
      <c r="G80" s="33">
        <f ca="1">Графік!G75</f>
        <v>2831.05</v>
      </c>
      <c r="H80" s="33" t="str">
        <f>Графік!M75</f>
        <v/>
      </c>
      <c r="I80" s="33"/>
      <c r="J80" s="53" t="str">
        <f>Графік!N75</f>
        <v/>
      </c>
      <c r="K80" s="33" t="str">
        <f>Графік!I75</f>
        <v/>
      </c>
      <c r="L80" s="33" t="str">
        <f>Графік!J75</f>
        <v/>
      </c>
      <c r="M80" s="34">
        <f>Графік!K75</f>
        <v>0</v>
      </c>
      <c r="N80" s="33" t="str">
        <f>Графік!L75</f>
        <v/>
      </c>
      <c r="O80" s="36" t="str">
        <f>Графік!P75</f>
        <v/>
      </c>
      <c r="P80" s="55" t="str">
        <f>Графік!Q75</f>
        <v/>
      </c>
    </row>
    <row r="81" spans="1:16" x14ac:dyDescent="0.25">
      <c r="A81" s="29">
        <f>Графік!A76</f>
        <v>52</v>
      </c>
      <c r="B81" s="173">
        <f ca="1">Графік!C76</f>
        <v>46104</v>
      </c>
      <c r="C81" s="31">
        <f ca="1">Графік!D76</f>
        <v>28</v>
      </c>
      <c r="D81" s="32">
        <f>Графік!E76</f>
        <v>133333.16333333263</v>
      </c>
      <c r="E81" s="33">
        <f ca="1">Графік!H76</f>
        <v>18968.039999999997</v>
      </c>
      <c r="F81" s="32">
        <f>Графік!F76</f>
        <v>16666.669999999998</v>
      </c>
      <c r="G81" s="33">
        <f ca="1">Графік!G76</f>
        <v>2301.37</v>
      </c>
      <c r="H81" s="33" t="str">
        <f>Графік!M76</f>
        <v/>
      </c>
      <c r="I81" s="33"/>
      <c r="J81" s="53" t="str">
        <f>Графік!N76</f>
        <v/>
      </c>
      <c r="K81" s="33" t="str">
        <f>Графік!I76</f>
        <v/>
      </c>
      <c r="L81" s="33" t="str">
        <f>Графік!J76</f>
        <v/>
      </c>
      <c r="M81" s="34">
        <f>Графік!K76</f>
        <v>0</v>
      </c>
      <c r="N81" s="33" t="str">
        <f>Графік!L76</f>
        <v/>
      </c>
      <c r="O81" s="36" t="str">
        <f>Графік!P76</f>
        <v/>
      </c>
      <c r="P81" s="55" t="str">
        <f>Графік!Q76</f>
        <v/>
      </c>
    </row>
    <row r="82" spans="1:16" x14ac:dyDescent="0.25">
      <c r="A82" s="29">
        <f>Графік!A77</f>
        <v>53</v>
      </c>
      <c r="B82" s="173">
        <f ca="1">Графік!C77</f>
        <v>46135</v>
      </c>
      <c r="C82" s="31">
        <f ca="1">Графік!D77</f>
        <v>31</v>
      </c>
      <c r="D82" s="32">
        <f>Графік!E77</f>
        <v>116666.49333333263</v>
      </c>
      <c r="E82" s="33">
        <f ca="1">Графік!H77</f>
        <v>18931.509999999998</v>
      </c>
      <c r="F82" s="32">
        <f>Графік!F77</f>
        <v>16666.669999999998</v>
      </c>
      <c r="G82" s="33">
        <f ca="1">Графік!G77</f>
        <v>2264.84</v>
      </c>
      <c r="H82" s="33" t="str">
        <f>Графік!M77</f>
        <v/>
      </c>
      <c r="I82" s="33"/>
      <c r="J82" s="53" t="str">
        <f>Графік!N77</f>
        <v/>
      </c>
      <c r="K82" s="33" t="str">
        <f>Графік!I77</f>
        <v/>
      </c>
      <c r="L82" s="33" t="str">
        <f>Графік!J77</f>
        <v/>
      </c>
      <c r="M82" s="34">
        <f>Графік!K77</f>
        <v>0</v>
      </c>
      <c r="N82" s="33" t="str">
        <f>Графік!L77</f>
        <v/>
      </c>
      <c r="O82" s="36" t="str">
        <f>Графік!P77</f>
        <v/>
      </c>
      <c r="P82" s="55" t="str">
        <f>Графік!Q77</f>
        <v/>
      </c>
    </row>
    <row r="83" spans="1:16" x14ac:dyDescent="0.25">
      <c r="A83" s="29">
        <f>Графік!A78</f>
        <v>54</v>
      </c>
      <c r="B83" s="173">
        <f ca="1">Графік!C78</f>
        <v>46165</v>
      </c>
      <c r="C83" s="31">
        <f ca="1">Графік!D78</f>
        <v>30</v>
      </c>
      <c r="D83" s="32">
        <f>Графік!E78</f>
        <v>99999.823333332635</v>
      </c>
      <c r="E83" s="33">
        <f ca="1">Графік!H78</f>
        <v>18584.48</v>
      </c>
      <c r="F83" s="32">
        <f>Графік!F78</f>
        <v>16666.669999999998</v>
      </c>
      <c r="G83" s="33">
        <f ca="1">Графік!G78</f>
        <v>1917.81</v>
      </c>
      <c r="H83" s="33" t="str">
        <f>Графік!M78</f>
        <v/>
      </c>
      <c r="I83" s="33"/>
      <c r="J83" s="53" t="str">
        <f>Графік!N78</f>
        <v/>
      </c>
      <c r="K83" s="33" t="str">
        <f>Графік!I78</f>
        <v/>
      </c>
      <c r="L83" s="33" t="str">
        <f>Графік!J78</f>
        <v/>
      </c>
      <c r="M83" s="34">
        <f>Графік!K78</f>
        <v>0</v>
      </c>
      <c r="N83" s="33" t="str">
        <f>Графік!L78</f>
        <v/>
      </c>
      <c r="O83" s="36" t="str">
        <f>Графік!P78</f>
        <v/>
      </c>
      <c r="P83" s="55" t="str">
        <f>Графік!Q78</f>
        <v/>
      </c>
    </row>
    <row r="84" spans="1:16" x14ac:dyDescent="0.25">
      <c r="A84" s="29">
        <f>Графік!A79</f>
        <v>55</v>
      </c>
      <c r="B84" s="173">
        <f ca="1">Графік!C79</f>
        <v>46196</v>
      </c>
      <c r="C84" s="31">
        <f ca="1">Графік!D79</f>
        <v>31</v>
      </c>
      <c r="D84" s="32">
        <f>Графік!E79</f>
        <v>83333.153333332637</v>
      </c>
      <c r="E84" s="33">
        <f ca="1">Графік!H79</f>
        <v>18365.3</v>
      </c>
      <c r="F84" s="32">
        <f>Графік!F79</f>
        <v>16666.669999999998</v>
      </c>
      <c r="G84" s="33">
        <f ca="1">Графік!G79</f>
        <v>1698.63</v>
      </c>
      <c r="H84" s="33" t="str">
        <f>Графік!M79</f>
        <v/>
      </c>
      <c r="I84" s="33"/>
      <c r="J84" s="53" t="str">
        <f>Графік!N79</f>
        <v/>
      </c>
      <c r="K84" s="33" t="str">
        <f>Графік!I79</f>
        <v/>
      </c>
      <c r="L84" s="33" t="str">
        <f>Графік!J79</f>
        <v/>
      </c>
      <c r="M84" s="34">
        <f>Графік!K79</f>
        <v>0</v>
      </c>
      <c r="N84" s="33" t="str">
        <f>Графік!L79</f>
        <v/>
      </c>
      <c r="O84" s="36" t="str">
        <f>Графік!P79</f>
        <v/>
      </c>
      <c r="P84" s="55" t="str">
        <f>Графік!Q79</f>
        <v/>
      </c>
    </row>
    <row r="85" spans="1:16" x14ac:dyDescent="0.25">
      <c r="A85" s="29">
        <f>Графік!A80</f>
        <v>56</v>
      </c>
      <c r="B85" s="173">
        <f ca="1">Графік!C80</f>
        <v>46226</v>
      </c>
      <c r="C85" s="31">
        <f ca="1">Графік!D80</f>
        <v>30</v>
      </c>
      <c r="D85" s="32">
        <f>Графік!E80</f>
        <v>66666.483333332639</v>
      </c>
      <c r="E85" s="33">
        <f ca="1">Графік!H80</f>
        <v>18036.53</v>
      </c>
      <c r="F85" s="32">
        <f>Графік!F80</f>
        <v>16666.669999999998</v>
      </c>
      <c r="G85" s="33">
        <f ca="1">Графік!G80</f>
        <v>1369.86</v>
      </c>
      <c r="H85" s="33" t="str">
        <f>Графік!M80</f>
        <v/>
      </c>
      <c r="I85" s="33"/>
      <c r="J85" s="53" t="str">
        <f>Графік!N80</f>
        <v/>
      </c>
      <c r="K85" s="33" t="str">
        <f>Графік!I80</f>
        <v/>
      </c>
      <c r="L85" s="33" t="str">
        <f>Графік!J80</f>
        <v/>
      </c>
      <c r="M85" s="34">
        <f>Графік!K80</f>
        <v>0</v>
      </c>
      <c r="N85" s="33" t="str">
        <f>Графік!L80</f>
        <v/>
      </c>
      <c r="O85" s="36" t="str">
        <f>Графік!P80</f>
        <v/>
      </c>
      <c r="P85" s="55" t="str">
        <f>Графік!Q80</f>
        <v/>
      </c>
    </row>
    <row r="86" spans="1:16" x14ac:dyDescent="0.25">
      <c r="A86" s="29">
        <f>Графік!A81</f>
        <v>57</v>
      </c>
      <c r="B86" s="173">
        <f ca="1">Графік!C81</f>
        <v>46257</v>
      </c>
      <c r="C86" s="31">
        <f ca="1">Графік!D81</f>
        <v>31</v>
      </c>
      <c r="D86" s="32">
        <f>Графік!E81</f>
        <v>49999.81333333264</v>
      </c>
      <c r="E86" s="33">
        <f ca="1">Графік!H81</f>
        <v>17799.089999999997</v>
      </c>
      <c r="F86" s="32">
        <f>Графік!F81</f>
        <v>16666.669999999998</v>
      </c>
      <c r="G86" s="33">
        <f ca="1">Графік!G81</f>
        <v>1132.42</v>
      </c>
      <c r="H86" s="33" t="str">
        <f>Графік!M81</f>
        <v/>
      </c>
      <c r="I86" s="33"/>
      <c r="J86" s="53" t="str">
        <f>Графік!N81</f>
        <v/>
      </c>
      <c r="K86" s="33" t="str">
        <f>Графік!I81</f>
        <v/>
      </c>
      <c r="L86" s="33" t="str">
        <f>Графік!J81</f>
        <v/>
      </c>
      <c r="M86" s="34">
        <f>Графік!K81</f>
        <v>0</v>
      </c>
      <c r="N86" s="33" t="str">
        <f>Графік!L81</f>
        <v/>
      </c>
      <c r="O86" s="36" t="str">
        <f>Графік!P81</f>
        <v/>
      </c>
      <c r="P86" s="55" t="str">
        <f>Графік!Q81</f>
        <v/>
      </c>
    </row>
    <row r="87" spans="1:16" x14ac:dyDescent="0.25">
      <c r="A87" s="29">
        <f>Графік!A82</f>
        <v>58</v>
      </c>
      <c r="B87" s="173">
        <f ca="1">Графік!C82</f>
        <v>46288</v>
      </c>
      <c r="C87" s="31">
        <f ca="1">Графік!D82</f>
        <v>31</v>
      </c>
      <c r="D87" s="32">
        <f>Графік!E82</f>
        <v>33333.143333332642</v>
      </c>
      <c r="E87" s="33">
        <f ca="1">Графік!H82</f>
        <v>17515.98</v>
      </c>
      <c r="F87" s="32">
        <f>Графік!F82</f>
        <v>16666.669999999998</v>
      </c>
      <c r="G87" s="33">
        <f ca="1">Графік!G82</f>
        <v>849.31</v>
      </c>
      <c r="H87" s="33" t="str">
        <f>Графік!M82</f>
        <v/>
      </c>
      <c r="I87" s="33"/>
      <c r="J87" s="53" t="str">
        <f>Графік!N82</f>
        <v/>
      </c>
      <c r="K87" s="33" t="str">
        <f>Графік!I82</f>
        <v/>
      </c>
      <c r="L87" s="33" t="str">
        <f>Графік!J82</f>
        <v/>
      </c>
      <c r="M87" s="34">
        <f>Графік!K82</f>
        <v>0</v>
      </c>
      <c r="N87" s="33" t="str">
        <f>Графік!L82</f>
        <v/>
      </c>
      <c r="O87" s="36" t="str">
        <f>Графік!P82</f>
        <v/>
      </c>
      <c r="P87" s="55" t="str">
        <f>Графік!Q82</f>
        <v/>
      </c>
    </row>
    <row r="88" spans="1:16" x14ac:dyDescent="0.25">
      <c r="A88" s="29">
        <f>Графік!A83</f>
        <v>59</v>
      </c>
      <c r="B88" s="173">
        <f ca="1">Графік!C83</f>
        <v>46318</v>
      </c>
      <c r="C88" s="31">
        <f ca="1">Графік!D83</f>
        <v>30</v>
      </c>
      <c r="D88" s="32">
        <f>Графік!E83</f>
        <v>16666.473333332644</v>
      </c>
      <c r="E88" s="33">
        <f ca="1">Графік!H83</f>
        <v>17214.609999999997</v>
      </c>
      <c r="F88" s="32">
        <f>Графік!F83</f>
        <v>16666.669999999998</v>
      </c>
      <c r="G88" s="33">
        <f ca="1">Графік!G83</f>
        <v>547.94000000000005</v>
      </c>
      <c r="H88" s="33" t="str">
        <f>Графік!M83</f>
        <v/>
      </c>
      <c r="I88" s="33"/>
      <c r="J88" s="53" t="str">
        <f>Графік!N83</f>
        <v/>
      </c>
      <c r="K88" s="33" t="str">
        <f>Графік!I83</f>
        <v/>
      </c>
      <c r="L88" s="33" t="str">
        <f>Графік!J83</f>
        <v/>
      </c>
      <c r="M88" s="34">
        <f>Графік!K83</f>
        <v>0</v>
      </c>
      <c r="N88" s="33" t="str">
        <f>Графік!L83</f>
        <v/>
      </c>
      <c r="O88" s="36" t="str">
        <f>Графік!P83</f>
        <v/>
      </c>
      <c r="P88" s="55" t="str">
        <f>Графік!Q83</f>
        <v/>
      </c>
    </row>
    <row r="89" spans="1:16" x14ac:dyDescent="0.25">
      <c r="A89" s="29">
        <f>Графік!A84</f>
        <v>60</v>
      </c>
      <c r="B89" s="173">
        <f ca="1">Графік!C84</f>
        <v>46348</v>
      </c>
      <c r="C89" s="31">
        <f ca="1">Графік!D84</f>
        <v>30</v>
      </c>
      <c r="D89" s="32">
        <f>Графік!E84</f>
        <v>3.3333326719002798E-3</v>
      </c>
      <c r="E89" s="33">
        <f ca="1">Графік!H84</f>
        <v>16940.439999999973</v>
      </c>
      <c r="F89" s="32">
        <f>Графік!F84</f>
        <v>16666.469999999972</v>
      </c>
      <c r="G89" s="33">
        <f ca="1">Графік!G84</f>
        <v>273.97000000000003</v>
      </c>
      <c r="H89" s="33" t="str">
        <f>Графік!M84</f>
        <v/>
      </c>
      <c r="I89" s="33"/>
      <c r="J89" s="53" t="str">
        <f>Графік!N84</f>
        <v/>
      </c>
      <c r="K89" s="33" t="str">
        <f>Графік!I84</f>
        <v/>
      </c>
      <c r="L89" s="33" t="str">
        <f>Графік!J84</f>
        <v/>
      </c>
      <c r="M89" s="34">
        <f>Графік!K84</f>
        <v>0</v>
      </c>
      <c r="N89" s="33" t="str">
        <f>Графік!L84</f>
        <v/>
      </c>
      <c r="O89" s="36" t="str">
        <f>Графік!P84</f>
        <v/>
      </c>
      <c r="P89" s="55" t="str">
        <f>Графік!Q84</f>
        <v/>
      </c>
    </row>
    <row r="90" spans="1:16" x14ac:dyDescent="0.25">
      <c r="A90" s="29" t="str">
        <f>Графік!A85</f>
        <v/>
      </c>
      <c r="B90" s="173" t="e">
        <f ca="1">Графік!C85</f>
        <v>#VALUE!</v>
      </c>
      <c r="C90" s="31" t="str">
        <f>Графік!D85</f>
        <v/>
      </c>
      <c r="D90" s="32" t="str">
        <f>Графік!E85</f>
        <v/>
      </c>
      <c r="E90" s="33">
        <f ca="1">Графік!H85</f>
        <v>1508016.2966666671</v>
      </c>
      <c r="F90" s="32">
        <f>Графік!F85</f>
        <v>1000000</v>
      </c>
      <c r="G90" s="33">
        <f ca="1">Графік!G85</f>
        <v>508016.3</v>
      </c>
      <c r="H90" s="33">
        <f>Графік!M85</f>
        <v>10000</v>
      </c>
      <c r="I90" s="33"/>
      <c r="J90" s="53">
        <f>Графік!N85</f>
        <v>0</v>
      </c>
      <c r="K90" s="33">
        <f>Графік!I85</f>
        <v>10000</v>
      </c>
      <c r="L90" s="33">
        <f>Графік!J85</f>
        <v>2000</v>
      </c>
      <c r="M90" s="33">
        <f>Графік!K85</f>
        <v>36250</v>
      </c>
      <c r="N90" s="33">
        <f>Графік!L85</f>
        <v>0</v>
      </c>
      <c r="O90" s="36">
        <f ca="1">Графік!P85</f>
        <v>0.25053634047508244</v>
      </c>
      <c r="P90" s="55">
        <f ca="1">Графік!Q85</f>
        <v>1566266.3</v>
      </c>
    </row>
    <row r="91" spans="1:16" hidden="1" x14ac:dyDescent="0.25">
      <c r="A91" s="29" t="str">
        <f>Графік!A86</f>
        <v/>
      </c>
      <c r="B91" s="173" t="e">
        <f ca="1">Графік!C86</f>
        <v>#VALUE!</v>
      </c>
      <c r="C91" s="31" t="str">
        <f>Графік!D86</f>
        <v/>
      </c>
      <c r="D91" s="32" t="str">
        <f>Графік!E86</f>
        <v/>
      </c>
      <c r="E91" s="33" t="str">
        <f>Графік!H86</f>
        <v/>
      </c>
      <c r="F91" s="32" t="str">
        <f>Графік!F86</f>
        <v/>
      </c>
      <c r="G91" s="33" t="str">
        <f>Графік!G86</f>
        <v/>
      </c>
      <c r="H91" s="33" t="str">
        <f>Графік!M86</f>
        <v/>
      </c>
      <c r="I91" s="33"/>
      <c r="J91" s="53" t="str">
        <f>Графік!N86</f>
        <v/>
      </c>
      <c r="K91" s="33" t="str">
        <f>Графік!I86</f>
        <v/>
      </c>
      <c r="L91" s="33" t="str">
        <f>Графік!J86</f>
        <v/>
      </c>
      <c r="M91" s="34">
        <f>Графік!K86</f>
        <v>0</v>
      </c>
      <c r="N91" s="33" t="str">
        <f>Графік!L86</f>
        <v/>
      </c>
      <c r="O91" s="36" t="str">
        <f>Графік!P86</f>
        <v/>
      </c>
      <c r="P91" s="55" t="str">
        <f>Графік!Q86</f>
        <v/>
      </c>
    </row>
    <row r="92" spans="1:16" hidden="1" x14ac:dyDescent="0.25">
      <c r="A92" s="29" t="str">
        <f>Графік!A87</f>
        <v/>
      </c>
      <c r="B92" s="173" t="e">
        <f ca="1">Графік!C87</f>
        <v>#VALUE!</v>
      </c>
      <c r="C92" s="31" t="str">
        <f>Графік!D87</f>
        <v/>
      </c>
      <c r="D92" s="32" t="str">
        <f>Графік!E87</f>
        <v/>
      </c>
      <c r="E92" s="33" t="str">
        <f>Графік!H87</f>
        <v/>
      </c>
      <c r="F92" s="32" t="str">
        <f>Графік!F87</f>
        <v/>
      </c>
      <c r="G92" s="33" t="str">
        <f>Графік!G87</f>
        <v/>
      </c>
      <c r="H92" s="33" t="str">
        <f>Графік!M87</f>
        <v/>
      </c>
      <c r="I92" s="33"/>
      <c r="J92" s="53" t="str">
        <f>Графік!N87</f>
        <v/>
      </c>
      <c r="K92" s="33" t="str">
        <f>Графік!I87</f>
        <v/>
      </c>
      <c r="L92" s="33" t="str">
        <f>Графік!J87</f>
        <v/>
      </c>
      <c r="M92" s="34">
        <f>Графік!K87</f>
        <v>0</v>
      </c>
      <c r="N92" s="33" t="str">
        <f>Графік!L87</f>
        <v/>
      </c>
      <c r="O92" s="36" t="str">
        <f>Графік!P87</f>
        <v/>
      </c>
      <c r="P92" s="55" t="str">
        <f>Графік!Q87</f>
        <v/>
      </c>
    </row>
    <row r="93" spans="1:16" hidden="1" x14ac:dyDescent="0.25">
      <c r="A93" s="29" t="str">
        <f>Графік!A88</f>
        <v/>
      </c>
      <c r="B93" s="173" t="e">
        <f ca="1">Графік!C88</f>
        <v>#VALUE!</v>
      </c>
      <c r="C93" s="31" t="str">
        <f>Графік!D88</f>
        <v/>
      </c>
      <c r="D93" s="32" t="str">
        <f>Графік!E88</f>
        <v/>
      </c>
      <c r="E93" s="33" t="str">
        <f>Графік!H88</f>
        <v/>
      </c>
      <c r="F93" s="32" t="str">
        <f>Графік!F88</f>
        <v/>
      </c>
      <c r="G93" s="33" t="str">
        <f>Графік!G88</f>
        <v/>
      </c>
      <c r="H93" s="33" t="str">
        <f>Графік!M88</f>
        <v/>
      </c>
      <c r="I93" s="33"/>
      <c r="J93" s="53" t="str">
        <f>Графік!N88</f>
        <v/>
      </c>
      <c r="K93" s="33" t="str">
        <f>Графік!I88</f>
        <v/>
      </c>
      <c r="L93" s="33" t="str">
        <f>Графік!J88</f>
        <v/>
      </c>
      <c r="M93" s="34">
        <f>Графік!K88</f>
        <v>0</v>
      </c>
      <c r="N93" s="33" t="str">
        <f>Графік!L88</f>
        <v/>
      </c>
      <c r="O93" s="36" t="str">
        <f>Графік!P88</f>
        <v/>
      </c>
      <c r="P93" s="55" t="str">
        <f>Графік!Q88</f>
        <v/>
      </c>
    </row>
    <row r="94" spans="1:16" hidden="1" x14ac:dyDescent="0.25">
      <c r="A94" s="29" t="str">
        <f>Графік!A89</f>
        <v/>
      </c>
      <c r="B94" s="173" t="e">
        <f ca="1">Графік!C89</f>
        <v>#VALUE!</v>
      </c>
      <c r="C94" s="31" t="str">
        <f>Графік!D89</f>
        <v/>
      </c>
      <c r="D94" s="32" t="str">
        <f>Графік!E89</f>
        <v/>
      </c>
      <c r="E94" s="33" t="str">
        <f>Графік!H89</f>
        <v/>
      </c>
      <c r="F94" s="32" t="str">
        <f>Графік!F89</f>
        <v/>
      </c>
      <c r="G94" s="33" t="str">
        <f>Графік!G89</f>
        <v/>
      </c>
      <c r="H94" s="33" t="str">
        <f>Графік!M89</f>
        <v/>
      </c>
      <c r="I94" s="33"/>
      <c r="J94" s="53" t="str">
        <f>Графік!N89</f>
        <v/>
      </c>
      <c r="K94" s="33" t="str">
        <f>Графік!I89</f>
        <v/>
      </c>
      <c r="L94" s="33" t="str">
        <f>Графік!J89</f>
        <v/>
      </c>
      <c r="M94" s="34">
        <f>Графік!K89</f>
        <v>0</v>
      </c>
      <c r="N94" s="33" t="str">
        <f>Графік!L89</f>
        <v/>
      </c>
      <c r="O94" s="36" t="str">
        <f>Графік!P89</f>
        <v/>
      </c>
      <c r="P94" s="55" t="str">
        <f>Графік!Q89</f>
        <v/>
      </c>
    </row>
    <row r="95" spans="1:16" hidden="1" x14ac:dyDescent="0.25">
      <c r="A95" s="29" t="str">
        <f>Графік!A90</f>
        <v/>
      </c>
      <c r="B95" s="173" t="e">
        <f ca="1">Графік!C90</f>
        <v>#VALUE!</v>
      </c>
      <c r="C95" s="31" t="str">
        <f>Графік!D90</f>
        <v/>
      </c>
      <c r="D95" s="32" t="str">
        <f>Графік!E90</f>
        <v/>
      </c>
      <c r="E95" s="33" t="str">
        <f>Графік!H90</f>
        <v/>
      </c>
      <c r="F95" s="32" t="str">
        <f>Графік!F90</f>
        <v/>
      </c>
      <c r="G95" s="33" t="str">
        <f>Графік!G90</f>
        <v/>
      </c>
      <c r="H95" s="33" t="str">
        <f>Графік!M90</f>
        <v/>
      </c>
      <c r="I95" s="33"/>
      <c r="J95" s="53" t="str">
        <f>Графік!N90</f>
        <v/>
      </c>
      <c r="K95" s="33" t="str">
        <f>Графік!I90</f>
        <v/>
      </c>
      <c r="L95" s="33" t="str">
        <f>Графік!J90</f>
        <v/>
      </c>
      <c r="M95" s="34">
        <f>Графік!K90</f>
        <v>0</v>
      </c>
      <c r="N95" s="33" t="str">
        <f>Графік!L90</f>
        <v/>
      </c>
      <c r="O95" s="36" t="str">
        <f>Графік!P90</f>
        <v/>
      </c>
      <c r="P95" s="55" t="str">
        <f>Графік!Q90</f>
        <v/>
      </c>
    </row>
    <row r="96" spans="1:16" hidden="1" x14ac:dyDescent="0.25">
      <c r="A96" s="29" t="str">
        <f>Графік!A91</f>
        <v/>
      </c>
      <c r="B96" s="173" t="e">
        <f ca="1">Графік!C91</f>
        <v>#VALUE!</v>
      </c>
      <c r="C96" s="31" t="str">
        <f>Графік!D91</f>
        <v/>
      </c>
      <c r="D96" s="32" t="str">
        <f>Графік!E91</f>
        <v/>
      </c>
      <c r="E96" s="33" t="str">
        <f>Графік!H91</f>
        <v/>
      </c>
      <c r="F96" s="32" t="str">
        <f>Графік!F91</f>
        <v/>
      </c>
      <c r="G96" s="33" t="str">
        <f>Графік!G91</f>
        <v/>
      </c>
      <c r="H96" s="33" t="str">
        <f>Графік!M91</f>
        <v/>
      </c>
      <c r="I96" s="33"/>
      <c r="J96" s="53" t="str">
        <f>Графік!N91</f>
        <v/>
      </c>
      <c r="K96" s="33" t="str">
        <f>Графік!I91</f>
        <v/>
      </c>
      <c r="L96" s="33" t="str">
        <f>Графік!J91</f>
        <v/>
      </c>
      <c r="M96" s="34">
        <f>Графік!K91</f>
        <v>0</v>
      </c>
      <c r="N96" s="33" t="str">
        <f>Графік!L91</f>
        <v/>
      </c>
      <c r="O96" s="36" t="str">
        <f>Графік!P91</f>
        <v/>
      </c>
      <c r="P96" s="55" t="str">
        <f>Графік!Q91</f>
        <v/>
      </c>
    </row>
    <row r="97" spans="1:16" hidden="1" x14ac:dyDescent="0.25">
      <c r="A97" s="29" t="str">
        <f>Графік!A92</f>
        <v/>
      </c>
      <c r="B97" s="173" t="e">
        <f ca="1">Графік!C92</f>
        <v>#VALUE!</v>
      </c>
      <c r="C97" s="31" t="str">
        <f>Графік!D92</f>
        <v/>
      </c>
      <c r="D97" s="32" t="str">
        <f>Графік!E92</f>
        <v/>
      </c>
      <c r="E97" s="33" t="str">
        <f>Графік!H92</f>
        <v/>
      </c>
      <c r="F97" s="32" t="str">
        <f>Графік!F92</f>
        <v/>
      </c>
      <c r="G97" s="33" t="str">
        <f>Графік!G92</f>
        <v/>
      </c>
      <c r="H97" s="33" t="str">
        <f>Графік!M92</f>
        <v/>
      </c>
      <c r="I97" s="33"/>
      <c r="J97" s="53" t="str">
        <f>Графік!N92</f>
        <v/>
      </c>
      <c r="K97" s="33" t="str">
        <f>Графік!I92</f>
        <v/>
      </c>
      <c r="L97" s="33" t="str">
        <f>Графік!J92</f>
        <v/>
      </c>
      <c r="M97" s="34">
        <f>Графік!K92</f>
        <v>0</v>
      </c>
      <c r="N97" s="33" t="str">
        <f>Графік!L92</f>
        <v/>
      </c>
      <c r="O97" s="36" t="str">
        <f>Графік!P92</f>
        <v/>
      </c>
      <c r="P97" s="55" t="str">
        <f>Графік!Q92</f>
        <v/>
      </c>
    </row>
    <row r="98" spans="1:16" hidden="1" x14ac:dyDescent="0.25">
      <c r="A98" s="29" t="str">
        <f>Графік!A93</f>
        <v/>
      </c>
      <c r="B98" s="173" t="e">
        <f ca="1">Графік!C93</f>
        <v>#VALUE!</v>
      </c>
      <c r="C98" s="31" t="str">
        <f>Графік!D93</f>
        <v/>
      </c>
      <c r="D98" s="32" t="str">
        <f>Графік!E93</f>
        <v/>
      </c>
      <c r="E98" s="33" t="str">
        <f>Графік!H93</f>
        <v/>
      </c>
      <c r="F98" s="32" t="str">
        <f>Графік!F93</f>
        <v/>
      </c>
      <c r="G98" s="33" t="str">
        <f>Графік!G93</f>
        <v/>
      </c>
      <c r="H98" s="33" t="str">
        <f>Графік!M93</f>
        <v/>
      </c>
      <c r="I98" s="33"/>
      <c r="J98" s="53" t="str">
        <f>Графік!N93</f>
        <v/>
      </c>
      <c r="K98" s="33" t="str">
        <f>Графік!I93</f>
        <v/>
      </c>
      <c r="L98" s="33" t="str">
        <f>Графік!J93</f>
        <v/>
      </c>
      <c r="M98" s="34">
        <f>Графік!K93</f>
        <v>0</v>
      </c>
      <c r="N98" s="33" t="str">
        <f>Графік!L93</f>
        <v/>
      </c>
      <c r="O98" s="36" t="str">
        <f>Графік!P93</f>
        <v/>
      </c>
      <c r="P98" s="55" t="str">
        <f>Графік!Q93</f>
        <v/>
      </c>
    </row>
    <row r="99" spans="1:16" hidden="1" x14ac:dyDescent="0.25">
      <c r="A99" s="29" t="str">
        <f>Графік!A94</f>
        <v/>
      </c>
      <c r="B99" s="173" t="e">
        <f ca="1">Графік!C94</f>
        <v>#VALUE!</v>
      </c>
      <c r="C99" s="31" t="str">
        <f>Графік!D94</f>
        <v/>
      </c>
      <c r="D99" s="32" t="str">
        <f>Графік!E94</f>
        <v/>
      </c>
      <c r="E99" s="33" t="str">
        <f>Графік!H94</f>
        <v/>
      </c>
      <c r="F99" s="32" t="str">
        <f>Графік!F94</f>
        <v/>
      </c>
      <c r="G99" s="33" t="str">
        <f>Графік!G94</f>
        <v/>
      </c>
      <c r="H99" s="33" t="str">
        <f>Графік!M94</f>
        <v/>
      </c>
      <c r="I99" s="33"/>
      <c r="J99" s="53" t="str">
        <f>Графік!N94</f>
        <v/>
      </c>
      <c r="K99" s="33" t="str">
        <f>Графік!I94</f>
        <v/>
      </c>
      <c r="L99" s="33" t="str">
        <f>Графік!J94</f>
        <v/>
      </c>
      <c r="M99" s="34">
        <f>Графік!K94</f>
        <v>0</v>
      </c>
      <c r="N99" s="33" t="str">
        <f>Графік!L94</f>
        <v/>
      </c>
      <c r="O99" s="36" t="str">
        <f>Графік!P94</f>
        <v/>
      </c>
      <c r="P99" s="55" t="str">
        <f>Графік!Q94</f>
        <v/>
      </c>
    </row>
    <row r="100" spans="1:16" hidden="1" x14ac:dyDescent="0.25">
      <c r="A100" s="29" t="str">
        <f>Графік!A95</f>
        <v/>
      </c>
      <c r="B100" s="173" t="e">
        <f ca="1">Графік!C95</f>
        <v>#VALUE!</v>
      </c>
      <c r="C100" s="31" t="str">
        <f>Графік!D95</f>
        <v/>
      </c>
      <c r="D100" s="32" t="str">
        <f>Графік!E95</f>
        <v/>
      </c>
      <c r="E100" s="33" t="str">
        <f>Графік!H95</f>
        <v/>
      </c>
      <c r="F100" s="32" t="str">
        <f>Графік!F95</f>
        <v/>
      </c>
      <c r="G100" s="33" t="str">
        <f>Графік!G95</f>
        <v/>
      </c>
      <c r="H100" s="33" t="str">
        <f>Графік!M95</f>
        <v/>
      </c>
      <c r="I100" s="33"/>
      <c r="J100" s="53" t="str">
        <f>Графік!N95</f>
        <v/>
      </c>
      <c r="K100" s="33" t="str">
        <f>Графік!I95</f>
        <v/>
      </c>
      <c r="L100" s="33" t="str">
        <f>Графік!J95</f>
        <v/>
      </c>
      <c r="M100" s="34">
        <f>Графік!K95</f>
        <v>0</v>
      </c>
      <c r="N100" s="33" t="str">
        <f>Графік!L95</f>
        <v/>
      </c>
      <c r="O100" s="36" t="str">
        <f>Графік!P95</f>
        <v/>
      </c>
      <c r="P100" s="55" t="str">
        <f>Графік!Q95</f>
        <v/>
      </c>
    </row>
    <row r="101" spans="1:16" hidden="1" x14ac:dyDescent="0.25">
      <c r="A101" s="29" t="str">
        <f>Графік!A96</f>
        <v/>
      </c>
      <c r="B101" s="173" t="e">
        <f ca="1">Графік!C96</f>
        <v>#VALUE!</v>
      </c>
      <c r="C101" s="31" t="str">
        <f>Графік!D96</f>
        <v/>
      </c>
      <c r="D101" s="32" t="str">
        <f>Графік!E96</f>
        <v/>
      </c>
      <c r="E101" s="33" t="str">
        <f>Графік!H96</f>
        <v/>
      </c>
      <c r="F101" s="32" t="str">
        <f>Графік!F96</f>
        <v/>
      </c>
      <c r="G101" s="33" t="str">
        <f>Графік!G96</f>
        <v/>
      </c>
      <c r="H101" s="33" t="str">
        <f>Графік!M96</f>
        <v/>
      </c>
      <c r="I101" s="33"/>
      <c r="J101" s="53" t="str">
        <f>Графік!N96</f>
        <v/>
      </c>
      <c r="K101" s="33" t="str">
        <f>Графік!I96</f>
        <v/>
      </c>
      <c r="L101" s="33" t="str">
        <f>Графік!J96</f>
        <v/>
      </c>
      <c r="M101" s="34">
        <f>Графік!K96</f>
        <v>0</v>
      </c>
      <c r="N101" s="33" t="str">
        <f>Графік!L96</f>
        <v/>
      </c>
      <c r="O101" s="36" t="str">
        <f>Графік!P96</f>
        <v/>
      </c>
      <c r="P101" s="55" t="str">
        <f>Графік!Q96</f>
        <v/>
      </c>
    </row>
    <row r="102" spans="1:16" hidden="1" x14ac:dyDescent="0.25">
      <c r="A102" s="29" t="str">
        <f>Графік!A97</f>
        <v/>
      </c>
      <c r="B102" s="173" t="e">
        <f ca="1">Графік!C97</f>
        <v>#VALUE!</v>
      </c>
      <c r="C102" s="31" t="str">
        <f>Графік!D97</f>
        <v/>
      </c>
      <c r="D102" s="32" t="str">
        <f>Графік!E97</f>
        <v/>
      </c>
      <c r="E102" s="33" t="str">
        <f>Графік!H97</f>
        <v/>
      </c>
      <c r="F102" s="32" t="str">
        <f>Графік!F97</f>
        <v/>
      </c>
      <c r="G102" s="33" t="str">
        <f>Графік!G97</f>
        <v/>
      </c>
      <c r="H102" s="33" t="str">
        <f>Графік!M97</f>
        <v/>
      </c>
      <c r="I102" s="33"/>
      <c r="J102" s="53" t="str">
        <f>Графік!N97</f>
        <v/>
      </c>
      <c r="K102" s="33" t="str">
        <f>Графік!I97</f>
        <v/>
      </c>
      <c r="L102" s="33" t="str">
        <f>Графік!J97</f>
        <v/>
      </c>
      <c r="M102" s="33" t="str">
        <f>Графік!K97</f>
        <v/>
      </c>
      <c r="N102" s="33" t="str">
        <f>Графік!L97</f>
        <v/>
      </c>
      <c r="O102" s="36" t="str">
        <f>Графік!P97</f>
        <v/>
      </c>
      <c r="P102" s="55" t="str">
        <f>Графік!Q97</f>
        <v/>
      </c>
    </row>
    <row r="103" spans="1:16" hidden="1" x14ac:dyDescent="0.25">
      <c r="A103" s="29" t="str">
        <f>Графік!A98</f>
        <v/>
      </c>
      <c r="B103" s="173" t="e">
        <f ca="1">Графік!C98</f>
        <v>#VALUE!</v>
      </c>
      <c r="C103" s="31" t="str">
        <f>Графік!D98</f>
        <v/>
      </c>
      <c r="D103" s="32" t="str">
        <f>Графік!E98</f>
        <v/>
      </c>
      <c r="E103" s="33" t="str">
        <f>Графік!H98</f>
        <v/>
      </c>
      <c r="F103" s="32" t="str">
        <f>Графік!F98</f>
        <v/>
      </c>
      <c r="G103" s="33" t="str">
        <f>Графік!G98</f>
        <v/>
      </c>
      <c r="H103" s="33" t="str">
        <f>Графік!M98</f>
        <v/>
      </c>
      <c r="I103" s="33"/>
      <c r="J103" s="53" t="str">
        <f>Графік!N98</f>
        <v/>
      </c>
      <c r="K103" s="33" t="str">
        <f>Графік!I98</f>
        <v/>
      </c>
      <c r="L103" s="33" t="str">
        <f>Графік!J98</f>
        <v/>
      </c>
      <c r="M103" s="34">
        <f>Графік!K98</f>
        <v>0</v>
      </c>
      <c r="N103" s="33" t="str">
        <f>Графік!L98</f>
        <v/>
      </c>
      <c r="O103" s="36" t="str">
        <f>Графік!P98</f>
        <v/>
      </c>
      <c r="P103" s="55" t="str">
        <f>Графік!Q98</f>
        <v/>
      </c>
    </row>
    <row r="104" spans="1:16" hidden="1" x14ac:dyDescent="0.25">
      <c r="A104" s="29" t="str">
        <f>Графік!A99</f>
        <v/>
      </c>
      <c r="B104" s="173" t="e">
        <f ca="1">Графік!C99</f>
        <v>#VALUE!</v>
      </c>
      <c r="C104" s="31" t="str">
        <f>Графік!D99</f>
        <v/>
      </c>
      <c r="D104" s="32" t="str">
        <f>Графік!E99</f>
        <v/>
      </c>
      <c r="E104" s="33" t="str">
        <f>Графік!H99</f>
        <v/>
      </c>
      <c r="F104" s="32" t="str">
        <f>Графік!F99</f>
        <v/>
      </c>
      <c r="G104" s="33" t="str">
        <f>Графік!G99</f>
        <v/>
      </c>
      <c r="H104" s="33" t="str">
        <f>Графік!M99</f>
        <v/>
      </c>
      <c r="I104" s="33"/>
      <c r="J104" s="53" t="str">
        <f>Графік!N99</f>
        <v/>
      </c>
      <c r="K104" s="33" t="str">
        <f>Графік!I99</f>
        <v/>
      </c>
      <c r="L104" s="33" t="str">
        <f>Графік!J99</f>
        <v/>
      </c>
      <c r="M104" s="34">
        <f>Графік!K99</f>
        <v>0</v>
      </c>
      <c r="N104" s="33" t="str">
        <f>Графік!L99</f>
        <v/>
      </c>
      <c r="O104" s="36" t="str">
        <f>Графік!P99</f>
        <v/>
      </c>
      <c r="P104" s="55" t="str">
        <f>Графік!Q99</f>
        <v/>
      </c>
    </row>
    <row r="105" spans="1:16" hidden="1" x14ac:dyDescent="0.25">
      <c r="A105" s="29" t="str">
        <f>Графік!A100</f>
        <v/>
      </c>
      <c r="B105" s="173" t="e">
        <f ca="1">Графік!C100</f>
        <v>#VALUE!</v>
      </c>
      <c r="C105" s="31" t="str">
        <f>Графік!D100</f>
        <v/>
      </c>
      <c r="D105" s="32" t="str">
        <f>Графік!E100</f>
        <v/>
      </c>
      <c r="E105" s="33" t="str">
        <f>Графік!H100</f>
        <v/>
      </c>
      <c r="F105" s="32" t="str">
        <f>Графік!F100</f>
        <v/>
      </c>
      <c r="G105" s="33" t="str">
        <f>Графік!G100</f>
        <v/>
      </c>
      <c r="H105" s="33" t="str">
        <f>Графік!M100</f>
        <v/>
      </c>
      <c r="I105" s="33"/>
      <c r="J105" s="53" t="str">
        <f>Графік!N100</f>
        <v/>
      </c>
      <c r="K105" s="33" t="str">
        <f>Графік!I100</f>
        <v/>
      </c>
      <c r="L105" s="33" t="str">
        <f>Графік!J100</f>
        <v/>
      </c>
      <c r="M105" s="34">
        <f>Графік!K100</f>
        <v>0</v>
      </c>
      <c r="N105" s="33" t="str">
        <f>Графік!L100</f>
        <v/>
      </c>
      <c r="O105" s="36" t="str">
        <f>Графік!P100</f>
        <v/>
      </c>
      <c r="P105" s="55" t="str">
        <f>Графік!Q100</f>
        <v/>
      </c>
    </row>
    <row r="106" spans="1:16" hidden="1" x14ac:dyDescent="0.25">
      <c r="A106" s="29" t="str">
        <f>Графік!A101</f>
        <v/>
      </c>
      <c r="B106" s="173" t="e">
        <f ca="1">Графік!C101</f>
        <v>#VALUE!</v>
      </c>
      <c r="C106" s="31" t="str">
        <f>Графік!D101</f>
        <v/>
      </c>
      <c r="D106" s="32" t="str">
        <f>Графік!E101</f>
        <v/>
      </c>
      <c r="E106" s="33" t="str">
        <f>Графік!H101</f>
        <v/>
      </c>
      <c r="F106" s="32" t="str">
        <f>Графік!F101</f>
        <v/>
      </c>
      <c r="G106" s="33" t="str">
        <f>Графік!G101</f>
        <v/>
      </c>
      <c r="H106" s="33" t="str">
        <f>Графік!M101</f>
        <v/>
      </c>
      <c r="I106" s="33"/>
      <c r="J106" s="53" t="str">
        <f>Графік!N101</f>
        <v/>
      </c>
      <c r="K106" s="33" t="str">
        <f>Графік!I101</f>
        <v/>
      </c>
      <c r="L106" s="33" t="str">
        <f>Графік!J101</f>
        <v/>
      </c>
      <c r="M106" s="34">
        <f>Графік!K101</f>
        <v>0</v>
      </c>
      <c r="N106" s="33" t="str">
        <f>Графік!L101</f>
        <v/>
      </c>
      <c r="O106" s="36" t="str">
        <f>Графік!P101</f>
        <v/>
      </c>
      <c r="P106" s="55" t="str">
        <f>Графік!Q101</f>
        <v/>
      </c>
    </row>
    <row r="107" spans="1:16" hidden="1" x14ac:dyDescent="0.25">
      <c r="A107" s="29" t="str">
        <f>Графік!A102</f>
        <v/>
      </c>
      <c r="B107" s="173" t="e">
        <f ca="1">Графік!C102</f>
        <v>#VALUE!</v>
      </c>
      <c r="C107" s="31" t="str">
        <f>Графік!D102</f>
        <v/>
      </c>
      <c r="D107" s="32" t="str">
        <f>Графік!E102</f>
        <v/>
      </c>
      <c r="E107" s="33" t="str">
        <f>Графік!H102</f>
        <v/>
      </c>
      <c r="F107" s="32" t="str">
        <f>Графік!F102</f>
        <v/>
      </c>
      <c r="G107" s="33" t="str">
        <f>Графік!G102</f>
        <v/>
      </c>
      <c r="H107" s="33" t="str">
        <f>Графік!M102</f>
        <v/>
      </c>
      <c r="I107" s="33"/>
      <c r="J107" s="53" t="str">
        <f>Графік!N102</f>
        <v/>
      </c>
      <c r="K107" s="33" t="str">
        <f>Графік!I102</f>
        <v/>
      </c>
      <c r="L107" s="33" t="str">
        <f>Графік!J102</f>
        <v/>
      </c>
      <c r="M107" s="34">
        <f>Графік!K102</f>
        <v>0</v>
      </c>
      <c r="N107" s="33" t="str">
        <f>Графік!L102</f>
        <v/>
      </c>
      <c r="O107" s="36" t="str">
        <f>Графік!P102</f>
        <v/>
      </c>
      <c r="P107" s="55" t="str">
        <f>Графік!Q102</f>
        <v/>
      </c>
    </row>
    <row r="108" spans="1:16" hidden="1" x14ac:dyDescent="0.25">
      <c r="A108" s="29" t="str">
        <f>Графік!A103</f>
        <v/>
      </c>
      <c r="B108" s="173" t="e">
        <f ca="1">Графік!C103</f>
        <v>#VALUE!</v>
      </c>
      <c r="C108" s="31" t="str">
        <f>Графік!D103</f>
        <v/>
      </c>
      <c r="D108" s="32" t="str">
        <f>Графік!E103</f>
        <v/>
      </c>
      <c r="E108" s="33" t="str">
        <f>Графік!H103</f>
        <v/>
      </c>
      <c r="F108" s="32" t="str">
        <f>Графік!F103</f>
        <v/>
      </c>
      <c r="G108" s="33" t="str">
        <f>Графік!G103</f>
        <v/>
      </c>
      <c r="H108" s="33" t="str">
        <f>Графік!M103</f>
        <v/>
      </c>
      <c r="I108" s="33"/>
      <c r="J108" s="53" t="str">
        <f>Графік!N103</f>
        <v/>
      </c>
      <c r="K108" s="33" t="str">
        <f>Графік!I103</f>
        <v/>
      </c>
      <c r="L108" s="33" t="str">
        <f>Графік!J103</f>
        <v/>
      </c>
      <c r="M108" s="34">
        <f>Графік!K103</f>
        <v>0</v>
      </c>
      <c r="N108" s="33" t="str">
        <f>Графік!L103</f>
        <v/>
      </c>
      <c r="O108" s="36" t="str">
        <f>Графік!P103</f>
        <v/>
      </c>
      <c r="P108" s="55" t="str">
        <f>Графік!Q103</f>
        <v/>
      </c>
    </row>
    <row r="109" spans="1:16" hidden="1" x14ac:dyDescent="0.25">
      <c r="A109" s="29" t="str">
        <f>Графік!A104</f>
        <v/>
      </c>
      <c r="B109" s="173" t="e">
        <f ca="1">Графік!C104</f>
        <v>#VALUE!</v>
      </c>
      <c r="C109" s="31" t="str">
        <f>Графік!D104</f>
        <v/>
      </c>
      <c r="D109" s="32" t="str">
        <f>Графік!E104</f>
        <v/>
      </c>
      <c r="E109" s="33" t="str">
        <f>Графік!H104</f>
        <v/>
      </c>
      <c r="F109" s="32" t="str">
        <f>Графік!F104</f>
        <v/>
      </c>
      <c r="G109" s="33" t="str">
        <f>Графік!G104</f>
        <v/>
      </c>
      <c r="H109" s="33" t="str">
        <f>Графік!M104</f>
        <v/>
      </c>
      <c r="I109" s="33"/>
      <c r="J109" s="53" t="str">
        <f>Графік!N104</f>
        <v/>
      </c>
      <c r="K109" s="33" t="str">
        <f>Графік!I104</f>
        <v/>
      </c>
      <c r="L109" s="33" t="str">
        <f>Графік!J104</f>
        <v/>
      </c>
      <c r="M109" s="34">
        <f>Графік!K104</f>
        <v>0</v>
      </c>
      <c r="N109" s="33" t="str">
        <f>Графік!L104</f>
        <v/>
      </c>
      <c r="O109" s="36" t="str">
        <f>Графік!P104</f>
        <v/>
      </c>
      <c r="P109" s="55" t="str">
        <f>Графік!Q104</f>
        <v/>
      </c>
    </row>
    <row r="110" spans="1:16" hidden="1" x14ac:dyDescent="0.25">
      <c r="A110" s="29" t="str">
        <f>Графік!A105</f>
        <v/>
      </c>
      <c r="B110" s="173" t="e">
        <f ca="1">Графік!C105</f>
        <v>#VALUE!</v>
      </c>
      <c r="C110" s="31" t="str">
        <f>Графік!D105</f>
        <v/>
      </c>
      <c r="D110" s="32" t="str">
        <f>Графік!E105</f>
        <v/>
      </c>
      <c r="E110" s="33" t="str">
        <f>Графік!H105</f>
        <v/>
      </c>
      <c r="F110" s="32" t="str">
        <f>Графік!F105</f>
        <v/>
      </c>
      <c r="G110" s="33" t="str">
        <f>Графік!G105</f>
        <v/>
      </c>
      <c r="H110" s="33" t="str">
        <f>Графік!M105</f>
        <v/>
      </c>
      <c r="I110" s="33"/>
      <c r="J110" s="53" t="str">
        <f>Графік!N105</f>
        <v/>
      </c>
      <c r="K110" s="33" t="str">
        <f>Графік!I105</f>
        <v/>
      </c>
      <c r="L110" s="33" t="str">
        <f>Графік!J105</f>
        <v/>
      </c>
      <c r="M110" s="34">
        <f>Графік!K105</f>
        <v>0</v>
      </c>
      <c r="N110" s="33" t="str">
        <f>Графік!L105</f>
        <v/>
      </c>
      <c r="O110" s="36" t="str">
        <f>Графік!P105</f>
        <v/>
      </c>
      <c r="P110" s="55" t="str">
        <f>Графік!Q105</f>
        <v/>
      </c>
    </row>
    <row r="111" spans="1:16" hidden="1" x14ac:dyDescent="0.25">
      <c r="A111" s="29" t="str">
        <f>Графік!A106</f>
        <v/>
      </c>
      <c r="B111" s="173" t="e">
        <f ca="1">Графік!C106</f>
        <v>#VALUE!</v>
      </c>
      <c r="C111" s="31" t="str">
        <f>Графік!D106</f>
        <v/>
      </c>
      <c r="D111" s="32" t="str">
        <f>Графік!E106</f>
        <v/>
      </c>
      <c r="E111" s="33" t="str">
        <f>Графік!H106</f>
        <v/>
      </c>
      <c r="F111" s="32" t="str">
        <f>Графік!F106</f>
        <v/>
      </c>
      <c r="G111" s="33" t="str">
        <f>Графік!G106</f>
        <v/>
      </c>
      <c r="H111" s="33" t="str">
        <f>Графік!M106</f>
        <v/>
      </c>
      <c r="I111" s="33"/>
      <c r="J111" s="53" t="str">
        <f>Графік!N106</f>
        <v/>
      </c>
      <c r="K111" s="33" t="str">
        <f>Графік!I106</f>
        <v/>
      </c>
      <c r="L111" s="33" t="str">
        <f>Графік!J106</f>
        <v/>
      </c>
      <c r="M111" s="34">
        <f>Графік!K106</f>
        <v>0</v>
      </c>
      <c r="N111" s="33" t="str">
        <f>Графік!L106</f>
        <v/>
      </c>
      <c r="O111" s="36" t="str">
        <f>Графік!P106</f>
        <v/>
      </c>
      <c r="P111" s="55" t="str">
        <f>Графік!Q106</f>
        <v/>
      </c>
    </row>
    <row r="112" spans="1:16" hidden="1" x14ac:dyDescent="0.25">
      <c r="A112" s="29" t="str">
        <f>Графік!A107</f>
        <v/>
      </c>
      <c r="B112" s="173" t="e">
        <f ca="1">Графік!C107</f>
        <v>#VALUE!</v>
      </c>
      <c r="C112" s="31" t="str">
        <f>Графік!D107</f>
        <v/>
      </c>
      <c r="D112" s="32" t="str">
        <f>Графік!E107</f>
        <v/>
      </c>
      <c r="E112" s="33" t="str">
        <f>Графік!H107</f>
        <v/>
      </c>
      <c r="F112" s="32" t="str">
        <f>Графік!F107</f>
        <v/>
      </c>
      <c r="G112" s="33" t="str">
        <f>Графік!G107</f>
        <v/>
      </c>
      <c r="H112" s="33" t="str">
        <f>Графік!M107</f>
        <v/>
      </c>
      <c r="I112" s="33"/>
      <c r="J112" s="53" t="str">
        <f>Графік!N107</f>
        <v/>
      </c>
      <c r="K112" s="33" t="str">
        <f>Графік!I107</f>
        <v/>
      </c>
      <c r="L112" s="33" t="str">
        <f>Графік!J107</f>
        <v/>
      </c>
      <c r="M112" s="34">
        <f>Графік!K107</f>
        <v>0</v>
      </c>
      <c r="N112" s="33" t="str">
        <f>Графік!L107</f>
        <v/>
      </c>
      <c r="O112" s="36" t="str">
        <f>Графік!P107</f>
        <v/>
      </c>
      <c r="P112" s="55" t="str">
        <f>Графік!Q107</f>
        <v/>
      </c>
    </row>
    <row r="113" spans="1:16" hidden="1" x14ac:dyDescent="0.25">
      <c r="A113" s="29" t="str">
        <f>Графік!A108</f>
        <v/>
      </c>
      <c r="B113" s="173" t="e">
        <f ca="1">Графік!C108</f>
        <v>#VALUE!</v>
      </c>
      <c r="C113" s="31" t="str">
        <f>Графік!D108</f>
        <v/>
      </c>
      <c r="D113" s="32" t="str">
        <f>Графік!E108</f>
        <v/>
      </c>
      <c r="E113" s="33" t="str">
        <f>Графік!H108</f>
        <v/>
      </c>
      <c r="F113" s="32" t="str">
        <f>Графік!F108</f>
        <v/>
      </c>
      <c r="G113" s="33" t="str">
        <f>Графік!G108</f>
        <v/>
      </c>
      <c r="H113" s="33" t="str">
        <f>Графік!M108</f>
        <v/>
      </c>
      <c r="I113" s="33"/>
      <c r="J113" s="53" t="str">
        <f>Графік!N108</f>
        <v/>
      </c>
      <c r="K113" s="33" t="str">
        <f>Графік!I108</f>
        <v/>
      </c>
      <c r="L113" s="33" t="str">
        <f>Графік!J108</f>
        <v/>
      </c>
      <c r="M113" s="34">
        <f>Графік!K108</f>
        <v>0</v>
      </c>
      <c r="N113" s="33" t="str">
        <f>Графік!L108</f>
        <v/>
      </c>
      <c r="O113" s="36" t="str">
        <f>Графік!P108</f>
        <v/>
      </c>
      <c r="P113" s="55" t="str">
        <f>Графік!Q108</f>
        <v/>
      </c>
    </row>
    <row r="114" spans="1:16" hidden="1" x14ac:dyDescent="0.25">
      <c r="A114" s="29" t="str">
        <f>Графік!A109</f>
        <v/>
      </c>
      <c r="B114" s="173" t="e">
        <f ca="1">Графік!C109</f>
        <v>#VALUE!</v>
      </c>
      <c r="C114" s="31" t="str">
        <f>Графік!D109</f>
        <v/>
      </c>
      <c r="D114" s="32" t="str">
        <f>Графік!E109</f>
        <v/>
      </c>
      <c r="E114" s="33" t="str">
        <f>Графік!H109</f>
        <v/>
      </c>
      <c r="F114" s="32" t="str">
        <f>Графік!F109</f>
        <v/>
      </c>
      <c r="G114" s="33" t="str">
        <f>Графік!G109</f>
        <v/>
      </c>
      <c r="H114" s="33" t="str">
        <f>Графік!M109</f>
        <v/>
      </c>
      <c r="I114" s="33"/>
      <c r="J114" s="53" t="str">
        <f>Графік!N109</f>
        <v/>
      </c>
      <c r="K114" s="33" t="str">
        <f>Графік!I109</f>
        <v/>
      </c>
      <c r="L114" s="33" t="str">
        <f>Графік!J109</f>
        <v/>
      </c>
      <c r="M114" s="33" t="str">
        <f>Графік!K109</f>
        <v/>
      </c>
      <c r="N114" s="33" t="str">
        <f>Графік!L109</f>
        <v/>
      </c>
      <c r="O114" s="36" t="str">
        <f>Графік!P109</f>
        <v/>
      </c>
      <c r="P114" s="55" t="str">
        <f>Графік!Q109</f>
        <v/>
      </c>
    </row>
    <row r="115" spans="1:16" hidden="1" x14ac:dyDescent="0.25">
      <c r="A115" s="29" t="str">
        <f>Графік!A110</f>
        <v/>
      </c>
      <c r="B115" s="173" t="e">
        <f ca="1">Графік!C110</f>
        <v>#VALUE!</v>
      </c>
      <c r="C115" s="31" t="str">
        <f>Графік!D110</f>
        <v/>
      </c>
      <c r="D115" s="32" t="str">
        <f>Графік!E110</f>
        <v/>
      </c>
      <c r="E115" s="33" t="str">
        <f>Графік!H110</f>
        <v/>
      </c>
      <c r="F115" s="32" t="str">
        <f>Графік!F110</f>
        <v/>
      </c>
      <c r="G115" s="33" t="str">
        <f>Графік!G110</f>
        <v/>
      </c>
      <c r="H115" s="33" t="str">
        <f>Графік!M110</f>
        <v/>
      </c>
      <c r="I115" s="33"/>
      <c r="J115" s="53" t="str">
        <f>Графік!N110</f>
        <v/>
      </c>
      <c r="K115" s="33" t="str">
        <f>Графік!I110</f>
        <v/>
      </c>
      <c r="L115" s="33" t="str">
        <f>Графік!J110</f>
        <v/>
      </c>
      <c r="M115" s="34">
        <f>Графік!K110</f>
        <v>0</v>
      </c>
      <c r="N115" s="33" t="str">
        <f>Графік!L110</f>
        <v/>
      </c>
      <c r="O115" s="36" t="str">
        <f>Графік!P110</f>
        <v/>
      </c>
      <c r="P115" s="55" t="str">
        <f>Графік!Q110</f>
        <v/>
      </c>
    </row>
    <row r="116" spans="1:16" hidden="1" x14ac:dyDescent="0.25">
      <c r="A116" s="29" t="str">
        <f>Графік!A111</f>
        <v/>
      </c>
      <c r="B116" s="173" t="e">
        <f ca="1">Графік!C111</f>
        <v>#VALUE!</v>
      </c>
      <c r="C116" s="31" t="str">
        <f>Графік!D111</f>
        <v/>
      </c>
      <c r="D116" s="32" t="str">
        <f>Графік!E111</f>
        <v/>
      </c>
      <c r="E116" s="33" t="str">
        <f>Графік!H111</f>
        <v/>
      </c>
      <c r="F116" s="32" t="str">
        <f>Графік!F111</f>
        <v/>
      </c>
      <c r="G116" s="33" t="str">
        <f>Графік!G111</f>
        <v/>
      </c>
      <c r="H116" s="33" t="str">
        <f>Графік!M111</f>
        <v/>
      </c>
      <c r="I116" s="33"/>
      <c r="J116" s="53" t="str">
        <f>Графік!N111</f>
        <v/>
      </c>
      <c r="K116" s="33" t="str">
        <f>Графік!I111</f>
        <v/>
      </c>
      <c r="L116" s="33" t="str">
        <f>Графік!J111</f>
        <v/>
      </c>
      <c r="M116" s="34">
        <f>Графік!K111</f>
        <v>0</v>
      </c>
      <c r="N116" s="33" t="str">
        <f>Графік!L111</f>
        <v/>
      </c>
      <c r="O116" s="36" t="str">
        <f>Графік!P111</f>
        <v/>
      </c>
      <c r="P116" s="55" t="str">
        <f>Графік!Q111</f>
        <v/>
      </c>
    </row>
    <row r="117" spans="1:16" hidden="1" x14ac:dyDescent="0.25">
      <c r="A117" s="29" t="str">
        <f>Графік!A112</f>
        <v/>
      </c>
      <c r="B117" s="173" t="e">
        <f ca="1">Графік!C112</f>
        <v>#VALUE!</v>
      </c>
      <c r="C117" s="31" t="str">
        <f>Графік!D112</f>
        <v/>
      </c>
      <c r="D117" s="32" t="str">
        <f>Графік!E112</f>
        <v/>
      </c>
      <c r="E117" s="33" t="str">
        <f>Графік!H112</f>
        <v/>
      </c>
      <c r="F117" s="32" t="str">
        <f>Графік!F112</f>
        <v/>
      </c>
      <c r="G117" s="33" t="str">
        <f>Графік!G112</f>
        <v/>
      </c>
      <c r="H117" s="33" t="str">
        <f>Графік!M112</f>
        <v/>
      </c>
      <c r="I117" s="33"/>
      <c r="J117" s="53" t="str">
        <f>Графік!N112</f>
        <v/>
      </c>
      <c r="K117" s="33" t="str">
        <f>Графік!I112</f>
        <v/>
      </c>
      <c r="L117" s="33" t="str">
        <f>Графік!J112</f>
        <v/>
      </c>
      <c r="M117" s="34">
        <f>Графік!K112</f>
        <v>0</v>
      </c>
      <c r="N117" s="33" t="str">
        <f>Графік!L112</f>
        <v/>
      </c>
      <c r="O117" s="36" t="str">
        <f>Графік!P112</f>
        <v/>
      </c>
      <c r="P117" s="55" t="str">
        <f>Графік!Q112</f>
        <v/>
      </c>
    </row>
    <row r="118" spans="1:16" hidden="1" x14ac:dyDescent="0.25">
      <c r="A118" s="29" t="str">
        <f>Графік!A113</f>
        <v/>
      </c>
      <c r="B118" s="173" t="e">
        <f ca="1">Графік!C113</f>
        <v>#VALUE!</v>
      </c>
      <c r="C118" s="31" t="str">
        <f>Графік!D113</f>
        <v/>
      </c>
      <c r="D118" s="32" t="str">
        <f>Графік!E113</f>
        <v/>
      </c>
      <c r="E118" s="33" t="str">
        <f>Графік!H113</f>
        <v/>
      </c>
      <c r="F118" s="32" t="str">
        <f>Графік!F113</f>
        <v/>
      </c>
      <c r="G118" s="33" t="str">
        <f>Графік!G113</f>
        <v/>
      </c>
      <c r="H118" s="33" t="str">
        <f>Графік!M113</f>
        <v/>
      </c>
      <c r="I118" s="33"/>
      <c r="J118" s="53" t="str">
        <f>Графік!N113</f>
        <v/>
      </c>
      <c r="K118" s="33" t="str">
        <f>Графік!I113</f>
        <v/>
      </c>
      <c r="L118" s="33" t="str">
        <f>Графік!J113</f>
        <v/>
      </c>
      <c r="M118" s="34">
        <f>Графік!K113</f>
        <v>0</v>
      </c>
      <c r="N118" s="33" t="str">
        <f>Графік!L113</f>
        <v/>
      </c>
      <c r="O118" s="36" t="str">
        <f>Графік!P113</f>
        <v/>
      </c>
      <c r="P118" s="55" t="str">
        <f>Графік!Q113</f>
        <v/>
      </c>
    </row>
    <row r="119" spans="1:16" hidden="1" x14ac:dyDescent="0.25">
      <c r="A119" s="29" t="str">
        <f>Графік!A114</f>
        <v/>
      </c>
      <c r="B119" s="173" t="e">
        <f ca="1">Графік!C114</f>
        <v>#VALUE!</v>
      </c>
      <c r="C119" s="31" t="str">
        <f>Графік!D114</f>
        <v/>
      </c>
      <c r="D119" s="32" t="str">
        <f>Графік!E114</f>
        <v/>
      </c>
      <c r="E119" s="33" t="str">
        <f>Графік!H114</f>
        <v/>
      </c>
      <c r="F119" s="32" t="str">
        <f>Графік!F114</f>
        <v/>
      </c>
      <c r="G119" s="33" t="str">
        <f>Графік!G114</f>
        <v/>
      </c>
      <c r="H119" s="33" t="str">
        <f>Графік!M114</f>
        <v/>
      </c>
      <c r="I119" s="33"/>
      <c r="J119" s="53" t="str">
        <f>Графік!N114</f>
        <v/>
      </c>
      <c r="K119" s="33" t="str">
        <f>Графік!I114</f>
        <v/>
      </c>
      <c r="L119" s="33" t="str">
        <f>Графік!J114</f>
        <v/>
      </c>
      <c r="M119" s="34">
        <f>Графік!K114</f>
        <v>0</v>
      </c>
      <c r="N119" s="33" t="str">
        <f>Графік!L114</f>
        <v/>
      </c>
      <c r="O119" s="36" t="str">
        <f>Графік!P114</f>
        <v/>
      </c>
      <c r="P119" s="55" t="str">
        <f>Графік!Q114</f>
        <v/>
      </c>
    </row>
    <row r="120" spans="1:16" hidden="1" x14ac:dyDescent="0.25">
      <c r="A120" s="29" t="str">
        <f>Графік!A115</f>
        <v/>
      </c>
      <c r="B120" s="173" t="e">
        <f ca="1">Графік!C115</f>
        <v>#VALUE!</v>
      </c>
      <c r="C120" s="31" t="str">
        <f>Графік!D115</f>
        <v/>
      </c>
      <c r="D120" s="32" t="str">
        <f>Графік!E115</f>
        <v/>
      </c>
      <c r="E120" s="33" t="str">
        <f>Графік!H115</f>
        <v/>
      </c>
      <c r="F120" s="32" t="str">
        <f>Графік!F115</f>
        <v/>
      </c>
      <c r="G120" s="33" t="str">
        <f>Графік!G115</f>
        <v/>
      </c>
      <c r="H120" s="33" t="str">
        <f>Графік!M115</f>
        <v/>
      </c>
      <c r="I120" s="33"/>
      <c r="J120" s="53" t="str">
        <f>Графік!N115</f>
        <v/>
      </c>
      <c r="K120" s="33" t="str">
        <f>Графік!I115</f>
        <v/>
      </c>
      <c r="L120" s="33" t="str">
        <f>Графік!J115</f>
        <v/>
      </c>
      <c r="M120" s="34">
        <f>Графік!K115</f>
        <v>0</v>
      </c>
      <c r="N120" s="33" t="str">
        <f>Графік!L115</f>
        <v/>
      </c>
      <c r="O120" s="36" t="str">
        <f>Графік!P115</f>
        <v/>
      </c>
      <c r="P120" s="55" t="str">
        <f>Графік!Q115</f>
        <v/>
      </c>
    </row>
    <row r="121" spans="1:16" hidden="1" x14ac:dyDescent="0.25">
      <c r="A121" s="29" t="str">
        <f>Графік!A116</f>
        <v/>
      </c>
      <c r="B121" s="173" t="e">
        <f ca="1">Графік!C116</f>
        <v>#VALUE!</v>
      </c>
      <c r="C121" s="31" t="str">
        <f>Графік!D116</f>
        <v/>
      </c>
      <c r="D121" s="32" t="str">
        <f>Графік!E116</f>
        <v/>
      </c>
      <c r="E121" s="33" t="str">
        <f>Графік!H116</f>
        <v/>
      </c>
      <c r="F121" s="32" t="str">
        <f>Графік!F116</f>
        <v/>
      </c>
      <c r="G121" s="33" t="str">
        <f>Графік!G116</f>
        <v/>
      </c>
      <c r="H121" s="33" t="str">
        <f>Графік!M116</f>
        <v/>
      </c>
      <c r="I121" s="33"/>
      <c r="J121" s="53" t="str">
        <f>Графік!N116</f>
        <v/>
      </c>
      <c r="K121" s="33" t="str">
        <f>Графік!I116</f>
        <v/>
      </c>
      <c r="L121" s="33" t="str">
        <f>Графік!J116</f>
        <v/>
      </c>
      <c r="M121" s="34">
        <f>Графік!K116</f>
        <v>0</v>
      </c>
      <c r="N121" s="33" t="str">
        <f>Графік!L116</f>
        <v/>
      </c>
      <c r="O121" s="36" t="str">
        <f>Графік!P116</f>
        <v/>
      </c>
      <c r="P121" s="55" t="str">
        <f>Графік!Q116</f>
        <v/>
      </c>
    </row>
    <row r="122" spans="1:16" hidden="1" x14ac:dyDescent="0.25">
      <c r="A122" s="29" t="str">
        <f>Графік!A117</f>
        <v/>
      </c>
      <c r="B122" s="173" t="e">
        <f ca="1">Графік!C117</f>
        <v>#VALUE!</v>
      </c>
      <c r="C122" s="31" t="str">
        <f>Графік!D117</f>
        <v/>
      </c>
      <c r="D122" s="32" t="str">
        <f>Графік!E117</f>
        <v/>
      </c>
      <c r="E122" s="33" t="str">
        <f>Графік!H117</f>
        <v/>
      </c>
      <c r="F122" s="32" t="str">
        <f>Графік!F117</f>
        <v/>
      </c>
      <c r="G122" s="33" t="str">
        <f>Графік!G117</f>
        <v/>
      </c>
      <c r="H122" s="33" t="str">
        <f>Графік!M117</f>
        <v/>
      </c>
      <c r="I122" s="33"/>
      <c r="J122" s="53" t="str">
        <f>Графік!N117</f>
        <v/>
      </c>
      <c r="K122" s="33" t="str">
        <f>Графік!I117</f>
        <v/>
      </c>
      <c r="L122" s="33" t="str">
        <f>Графік!J117</f>
        <v/>
      </c>
      <c r="M122" s="34">
        <f>Графік!K117</f>
        <v>0</v>
      </c>
      <c r="N122" s="33" t="str">
        <f>Графік!L117</f>
        <v/>
      </c>
      <c r="O122" s="36" t="str">
        <f>Графік!P117</f>
        <v/>
      </c>
      <c r="P122" s="55" t="str">
        <f>Графік!Q117</f>
        <v/>
      </c>
    </row>
    <row r="123" spans="1:16" hidden="1" x14ac:dyDescent="0.25">
      <c r="A123" s="29" t="str">
        <f>Графік!A118</f>
        <v/>
      </c>
      <c r="B123" s="173" t="e">
        <f ca="1">Графік!C118</f>
        <v>#VALUE!</v>
      </c>
      <c r="C123" s="31" t="str">
        <f>Графік!D118</f>
        <v/>
      </c>
      <c r="D123" s="32" t="str">
        <f>Графік!E118</f>
        <v/>
      </c>
      <c r="E123" s="33" t="str">
        <f>Графік!H118</f>
        <v/>
      </c>
      <c r="F123" s="32" t="str">
        <f>Графік!F118</f>
        <v/>
      </c>
      <c r="G123" s="33" t="str">
        <f>Графік!G118</f>
        <v/>
      </c>
      <c r="H123" s="33" t="str">
        <f>Графік!M118</f>
        <v/>
      </c>
      <c r="I123" s="33"/>
      <c r="J123" s="53" t="str">
        <f>Графік!N118</f>
        <v/>
      </c>
      <c r="K123" s="33" t="str">
        <f>Графік!I118</f>
        <v/>
      </c>
      <c r="L123" s="33" t="str">
        <f>Графік!J118</f>
        <v/>
      </c>
      <c r="M123" s="34">
        <f>Графік!K118</f>
        <v>0</v>
      </c>
      <c r="N123" s="33" t="str">
        <f>Графік!L118</f>
        <v/>
      </c>
      <c r="O123" s="36" t="str">
        <f>Графік!P118</f>
        <v/>
      </c>
      <c r="P123" s="55" t="str">
        <f>Графік!Q118</f>
        <v/>
      </c>
    </row>
    <row r="124" spans="1:16" hidden="1" x14ac:dyDescent="0.25">
      <c r="A124" s="29" t="str">
        <f>Графік!A119</f>
        <v/>
      </c>
      <c r="B124" s="173" t="e">
        <f ca="1">Графік!C119</f>
        <v>#VALUE!</v>
      </c>
      <c r="C124" s="31" t="str">
        <f>Графік!D119</f>
        <v/>
      </c>
      <c r="D124" s="32" t="str">
        <f>Графік!E119</f>
        <v/>
      </c>
      <c r="E124" s="33" t="str">
        <f>Графік!H119</f>
        <v/>
      </c>
      <c r="F124" s="32" t="str">
        <f>Графік!F119</f>
        <v/>
      </c>
      <c r="G124" s="33" t="str">
        <f>Графік!G119</f>
        <v/>
      </c>
      <c r="H124" s="33" t="str">
        <f>Графік!M119</f>
        <v/>
      </c>
      <c r="I124" s="33"/>
      <c r="J124" s="53" t="str">
        <f>Графік!N119</f>
        <v/>
      </c>
      <c r="K124" s="33" t="str">
        <f>Графік!I119</f>
        <v/>
      </c>
      <c r="L124" s="33" t="str">
        <f>Графік!J119</f>
        <v/>
      </c>
      <c r="M124" s="34">
        <f>Графік!K119</f>
        <v>0</v>
      </c>
      <c r="N124" s="33" t="str">
        <f>Графік!L119</f>
        <v/>
      </c>
      <c r="O124" s="36" t="str">
        <f>Графік!P119</f>
        <v/>
      </c>
      <c r="P124" s="55" t="str">
        <f>Графік!Q119</f>
        <v/>
      </c>
    </row>
    <row r="125" spans="1:16" hidden="1" x14ac:dyDescent="0.25">
      <c r="A125" s="29" t="str">
        <f>Графік!A120</f>
        <v/>
      </c>
      <c r="B125" s="173" t="e">
        <f ca="1">Графік!C120</f>
        <v>#VALUE!</v>
      </c>
      <c r="C125" s="31" t="str">
        <f>Графік!D120</f>
        <v/>
      </c>
      <c r="D125" s="32" t="str">
        <f>Графік!E120</f>
        <v/>
      </c>
      <c r="E125" s="33" t="str">
        <f>Графік!H120</f>
        <v/>
      </c>
      <c r="F125" s="32" t="str">
        <f>Графік!F120</f>
        <v/>
      </c>
      <c r="G125" s="33" t="str">
        <f>Графік!G120</f>
        <v/>
      </c>
      <c r="H125" s="33" t="str">
        <f>Графік!M120</f>
        <v/>
      </c>
      <c r="I125" s="33"/>
      <c r="J125" s="53" t="str">
        <f>Графік!N120</f>
        <v/>
      </c>
      <c r="K125" s="33" t="str">
        <f>Графік!I120</f>
        <v/>
      </c>
      <c r="L125" s="33" t="str">
        <f>Графік!J120</f>
        <v/>
      </c>
      <c r="M125" s="34">
        <f>Графік!K120</f>
        <v>0</v>
      </c>
      <c r="N125" s="33" t="str">
        <f>Графік!L120</f>
        <v/>
      </c>
      <c r="O125" s="36" t="str">
        <f>Графік!P120</f>
        <v/>
      </c>
      <c r="P125" s="55" t="str">
        <f>Графік!Q120</f>
        <v/>
      </c>
    </row>
    <row r="126" spans="1:16" hidden="1" x14ac:dyDescent="0.25">
      <c r="A126" s="29" t="str">
        <f>Графік!A121</f>
        <v/>
      </c>
      <c r="B126" s="173" t="e">
        <f ca="1">Графік!C121</f>
        <v>#VALUE!</v>
      </c>
      <c r="C126" s="31" t="str">
        <f>Графік!D121</f>
        <v/>
      </c>
      <c r="D126" s="32" t="str">
        <f>Графік!E121</f>
        <v/>
      </c>
      <c r="E126" s="33" t="str">
        <f>Графік!H121</f>
        <v/>
      </c>
      <c r="F126" s="32" t="str">
        <f>Графік!F121</f>
        <v/>
      </c>
      <c r="G126" s="33" t="str">
        <f>Графік!G121</f>
        <v/>
      </c>
      <c r="H126" s="33" t="str">
        <f>Графік!M121</f>
        <v/>
      </c>
      <c r="I126" s="33"/>
      <c r="J126" s="53" t="str">
        <f>Графік!N121</f>
        <v/>
      </c>
      <c r="K126" s="33" t="str">
        <f>Графік!I121</f>
        <v/>
      </c>
      <c r="L126" s="33" t="str">
        <f>Графік!J121</f>
        <v/>
      </c>
      <c r="M126" s="33" t="str">
        <f>Графік!K121</f>
        <v/>
      </c>
      <c r="N126" s="33" t="str">
        <f>Графік!L121</f>
        <v/>
      </c>
      <c r="O126" s="36" t="str">
        <f>Графік!P121</f>
        <v/>
      </c>
      <c r="P126" s="55" t="str">
        <f>Графік!Q121</f>
        <v/>
      </c>
    </row>
    <row r="127" spans="1:16" hidden="1" x14ac:dyDescent="0.25">
      <c r="A127" s="29" t="str">
        <f>Графік!A122</f>
        <v/>
      </c>
      <c r="B127" s="173" t="e">
        <f ca="1">Графік!C122</f>
        <v>#VALUE!</v>
      </c>
      <c r="C127" s="31" t="str">
        <f>Графік!D122</f>
        <v/>
      </c>
      <c r="D127" s="32" t="str">
        <f>Графік!E122</f>
        <v/>
      </c>
      <c r="E127" s="33" t="str">
        <f>Графік!H122</f>
        <v/>
      </c>
      <c r="F127" s="32" t="str">
        <f>Графік!F122</f>
        <v/>
      </c>
      <c r="G127" s="33" t="str">
        <f>Графік!G122</f>
        <v/>
      </c>
      <c r="H127" s="33" t="str">
        <f>Графік!M122</f>
        <v/>
      </c>
      <c r="I127" s="33"/>
      <c r="J127" s="53" t="str">
        <f>Графік!N122</f>
        <v/>
      </c>
      <c r="K127" s="33" t="str">
        <f>Графік!I122</f>
        <v/>
      </c>
      <c r="L127" s="33" t="str">
        <f>Графік!J122</f>
        <v/>
      </c>
      <c r="M127" s="34">
        <f>Графік!K122</f>
        <v>0</v>
      </c>
      <c r="N127" s="33" t="str">
        <f>Графік!L122</f>
        <v/>
      </c>
      <c r="O127" s="36" t="str">
        <f>Графік!P122</f>
        <v/>
      </c>
      <c r="P127" s="55" t="str">
        <f>Графік!Q122</f>
        <v/>
      </c>
    </row>
    <row r="128" spans="1:16" hidden="1" x14ac:dyDescent="0.25">
      <c r="A128" s="29" t="str">
        <f>Графік!A123</f>
        <v/>
      </c>
      <c r="B128" s="173" t="e">
        <f ca="1">Графік!C123</f>
        <v>#VALUE!</v>
      </c>
      <c r="C128" s="31" t="str">
        <f>Графік!D123</f>
        <v/>
      </c>
      <c r="D128" s="32" t="str">
        <f>Графік!E123</f>
        <v/>
      </c>
      <c r="E128" s="33" t="str">
        <f>Графік!H123</f>
        <v/>
      </c>
      <c r="F128" s="32" t="str">
        <f>Графік!F123</f>
        <v/>
      </c>
      <c r="G128" s="33" t="str">
        <f>Графік!G123</f>
        <v/>
      </c>
      <c r="H128" s="33" t="str">
        <f>Графік!M123</f>
        <v/>
      </c>
      <c r="I128" s="33"/>
      <c r="J128" s="53" t="str">
        <f>Графік!N123</f>
        <v/>
      </c>
      <c r="K128" s="33" t="str">
        <f>Графік!I123</f>
        <v/>
      </c>
      <c r="L128" s="33" t="str">
        <f>Графік!J123</f>
        <v/>
      </c>
      <c r="M128" s="34">
        <f>Графік!K123</f>
        <v>0</v>
      </c>
      <c r="N128" s="33" t="str">
        <f>Графік!L123</f>
        <v/>
      </c>
      <c r="O128" s="36" t="str">
        <f>Графік!P123</f>
        <v/>
      </c>
      <c r="P128" s="55" t="str">
        <f>Графік!Q123</f>
        <v/>
      </c>
    </row>
    <row r="129" spans="1:16" hidden="1" x14ac:dyDescent="0.25">
      <c r="A129" s="29" t="str">
        <f>Графік!A124</f>
        <v/>
      </c>
      <c r="B129" s="173" t="e">
        <f ca="1">Графік!C124</f>
        <v>#VALUE!</v>
      </c>
      <c r="C129" s="31" t="str">
        <f>Графік!D124</f>
        <v/>
      </c>
      <c r="D129" s="32" t="str">
        <f>Графік!E124</f>
        <v/>
      </c>
      <c r="E129" s="33" t="str">
        <f>Графік!H124</f>
        <v/>
      </c>
      <c r="F129" s="32" t="str">
        <f>Графік!F124</f>
        <v/>
      </c>
      <c r="G129" s="33" t="str">
        <f>Графік!G124</f>
        <v/>
      </c>
      <c r="H129" s="33" t="str">
        <f>Графік!M124</f>
        <v/>
      </c>
      <c r="I129" s="33"/>
      <c r="J129" s="53" t="str">
        <f>Графік!N124</f>
        <v/>
      </c>
      <c r="K129" s="33" t="str">
        <f>Графік!I124</f>
        <v/>
      </c>
      <c r="L129" s="33" t="str">
        <f>Графік!J124</f>
        <v/>
      </c>
      <c r="M129" s="34">
        <f>Графік!K124</f>
        <v>0</v>
      </c>
      <c r="N129" s="33" t="str">
        <f>Графік!L124</f>
        <v/>
      </c>
      <c r="O129" s="36" t="str">
        <f>Графік!P124</f>
        <v/>
      </c>
      <c r="P129" s="55" t="str">
        <f>Графік!Q124</f>
        <v/>
      </c>
    </row>
    <row r="130" spans="1:16" hidden="1" x14ac:dyDescent="0.25">
      <c r="A130" s="29" t="str">
        <f>Графік!A125</f>
        <v/>
      </c>
      <c r="B130" s="173" t="e">
        <f ca="1">Графік!C125</f>
        <v>#VALUE!</v>
      </c>
      <c r="C130" s="31" t="str">
        <f>Графік!D125</f>
        <v/>
      </c>
      <c r="D130" s="32" t="str">
        <f>Графік!E125</f>
        <v/>
      </c>
      <c r="E130" s="33" t="str">
        <f>Графік!H125</f>
        <v/>
      </c>
      <c r="F130" s="32" t="str">
        <f>Графік!F125</f>
        <v/>
      </c>
      <c r="G130" s="33" t="str">
        <f>Графік!G125</f>
        <v/>
      </c>
      <c r="H130" s="33" t="str">
        <f>Графік!M125</f>
        <v/>
      </c>
      <c r="I130" s="33"/>
      <c r="J130" s="53" t="str">
        <f>Графік!N125</f>
        <v/>
      </c>
      <c r="K130" s="33" t="str">
        <f>Графік!I125</f>
        <v/>
      </c>
      <c r="L130" s="33" t="str">
        <f>Графік!J125</f>
        <v/>
      </c>
      <c r="M130" s="34">
        <f>Графік!K125</f>
        <v>0</v>
      </c>
      <c r="N130" s="33" t="str">
        <f>Графік!L125</f>
        <v/>
      </c>
      <c r="O130" s="36" t="str">
        <f>Графік!P125</f>
        <v/>
      </c>
      <c r="P130" s="55" t="str">
        <f>Графік!Q125</f>
        <v/>
      </c>
    </row>
    <row r="131" spans="1:16" hidden="1" x14ac:dyDescent="0.25">
      <c r="A131" s="29" t="str">
        <f>Графік!A126</f>
        <v/>
      </c>
      <c r="B131" s="173" t="e">
        <f ca="1">Графік!C126</f>
        <v>#VALUE!</v>
      </c>
      <c r="C131" s="31" t="str">
        <f>Графік!D126</f>
        <v/>
      </c>
      <c r="D131" s="32" t="str">
        <f>Графік!E126</f>
        <v/>
      </c>
      <c r="E131" s="33" t="str">
        <f>Графік!H126</f>
        <v/>
      </c>
      <c r="F131" s="32" t="str">
        <f>Графік!F126</f>
        <v/>
      </c>
      <c r="G131" s="33" t="str">
        <f>Графік!G126</f>
        <v/>
      </c>
      <c r="H131" s="33" t="str">
        <f>Графік!M126</f>
        <v/>
      </c>
      <c r="I131" s="33"/>
      <c r="J131" s="53" t="str">
        <f>Графік!N126</f>
        <v/>
      </c>
      <c r="K131" s="33" t="str">
        <f>Графік!I126</f>
        <v/>
      </c>
      <c r="L131" s="33" t="str">
        <f>Графік!J126</f>
        <v/>
      </c>
      <c r="M131" s="34">
        <f>Графік!K126</f>
        <v>0</v>
      </c>
      <c r="N131" s="33" t="str">
        <f>Графік!L126</f>
        <v/>
      </c>
      <c r="O131" s="36" t="str">
        <f>Графік!P126</f>
        <v/>
      </c>
      <c r="P131" s="55" t="str">
        <f>Графік!Q126</f>
        <v/>
      </c>
    </row>
    <row r="132" spans="1:16" hidden="1" x14ac:dyDescent="0.25">
      <c r="A132" s="29" t="str">
        <f>Графік!A127</f>
        <v/>
      </c>
      <c r="B132" s="173" t="e">
        <f ca="1">Графік!C127</f>
        <v>#VALUE!</v>
      </c>
      <c r="C132" s="31" t="str">
        <f>Графік!D127</f>
        <v/>
      </c>
      <c r="D132" s="32" t="str">
        <f>Графік!E127</f>
        <v/>
      </c>
      <c r="E132" s="33" t="str">
        <f>Графік!H127</f>
        <v/>
      </c>
      <c r="F132" s="32" t="str">
        <f>Графік!F127</f>
        <v/>
      </c>
      <c r="G132" s="33" t="str">
        <f>Графік!G127</f>
        <v/>
      </c>
      <c r="H132" s="33" t="str">
        <f>Графік!M127</f>
        <v/>
      </c>
      <c r="I132" s="33"/>
      <c r="J132" s="53" t="str">
        <f>Графік!N127</f>
        <v/>
      </c>
      <c r="K132" s="33" t="str">
        <f>Графік!I127</f>
        <v/>
      </c>
      <c r="L132" s="33" t="str">
        <f>Графік!J127</f>
        <v/>
      </c>
      <c r="M132" s="34">
        <f>Графік!K127</f>
        <v>0</v>
      </c>
      <c r="N132" s="33" t="str">
        <f>Графік!L127</f>
        <v/>
      </c>
      <c r="O132" s="36" t="str">
        <f>Графік!P127</f>
        <v/>
      </c>
      <c r="P132" s="55" t="str">
        <f>Графік!Q127</f>
        <v/>
      </c>
    </row>
    <row r="133" spans="1:16" hidden="1" x14ac:dyDescent="0.25">
      <c r="A133" s="29" t="str">
        <f>Графік!A128</f>
        <v/>
      </c>
      <c r="B133" s="173" t="e">
        <f ca="1">Графік!C128</f>
        <v>#VALUE!</v>
      </c>
      <c r="C133" s="31" t="str">
        <f>Графік!D128</f>
        <v/>
      </c>
      <c r="D133" s="32" t="str">
        <f>Графік!E128</f>
        <v/>
      </c>
      <c r="E133" s="33" t="str">
        <f>Графік!H128</f>
        <v/>
      </c>
      <c r="F133" s="32" t="str">
        <f>Графік!F128</f>
        <v/>
      </c>
      <c r="G133" s="33" t="str">
        <f>Графік!G128</f>
        <v/>
      </c>
      <c r="H133" s="33" t="str">
        <f>Графік!M128</f>
        <v/>
      </c>
      <c r="I133" s="33"/>
      <c r="J133" s="53" t="str">
        <f>Графік!N128</f>
        <v/>
      </c>
      <c r="K133" s="33" t="str">
        <f>Графік!I128</f>
        <v/>
      </c>
      <c r="L133" s="33" t="str">
        <f>Графік!J128</f>
        <v/>
      </c>
      <c r="M133" s="34">
        <f>Графік!K128</f>
        <v>0</v>
      </c>
      <c r="N133" s="33" t="str">
        <f>Графік!L128</f>
        <v/>
      </c>
      <c r="O133" s="36" t="str">
        <f>Графік!P128</f>
        <v/>
      </c>
      <c r="P133" s="55" t="str">
        <f>Графік!Q128</f>
        <v/>
      </c>
    </row>
    <row r="134" spans="1:16" hidden="1" x14ac:dyDescent="0.25">
      <c r="A134" s="29" t="str">
        <f>Графік!A129</f>
        <v/>
      </c>
      <c r="B134" s="173" t="e">
        <f ca="1">Графік!C129</f>
        <v>#VALUE!</v>
      </c>
      <c r="C134" s="31" t="str">
        <f>Графік!D129</f>
        <v/>
      </c>
      <c r="D134" s="32" t="str">
        <f>Графік!E129</f>
        <v/>
      </c>
      <c r="E134" s="33" t="str">
        <f>Графік!H129</f>
        <v/>
      </c>
      <c r="F134" s="32" t="str">
        <f>Графік!F129</f>
        <v/>
      </c>
      <c r="G134" s="33" t="str">
        <f>Графік!G129</f>
        <v/>
      </c>
      <c r="H134" s="33" t="str">
        <f>Графік!M129</f>
        <v/>
      </c>
      <c r="I134" s="33"/>
      <c r="J134" s="53" t="str">
        <f>Графік!N129</f>
        <v/>
      </c>
      <c r="K134" s="33" t="str">
        <f>Графік!I129</f>
        <v/>
      </c>
      <c r="L134" s="33" t="str">
        <f>Графік!J129</f>
        <v/>
      </c>
      <c r="M134" s="34">
        <f>Графік!K129</f>
        <v>0</v>
      </c>
      <c r="N134" s="33" t="str">
        <f>Графік!L129</f>
        <v/>
      </c>
      <c r="O134" s="36" t="str">
        <f>Графік!P129</f>
        <v/>
      </c>
      <c r="P134" s="55" t="str">
        <f>Графік!Q129</f>
        <v/>
      </c>
    </row>
    <row r="135" spans="1:16" hidden="1" x14ac:dyDescent="0.25">
      <c r="A135" s="29" t="str">
        <f>Графік!A130</f>
        <v/>
      </c>
      <c r="B135" s="173" t="e">
        <f ca="1">Графік!C130</f>
        <v>#VALUE!</v>
      </c>
      <c r="C135" s="31" t="str">
        <f>Графік!D130</f>
        <v/>
      </c>
      <c r="D135" s="32" t="str">
        <f>Графік!E130</f>
        <v/>
      </c>
      <c r="E135" s="33" t="str">
        <f>Графік!H130</f>
        <v/>
      </c>
      <c r="F135" s="32" t="str">
        <f>Графік!F130</f>
        <v/>
      </c>
      <c r="G135" s="33" t="str">
        <f>Графік!G130</f>
        <v/>
      </c>
      <c r="H135" s="33" t="str">
        <f>Графік!M130</f>
        <v/>
      </c>
      <c r="I135" s="33"/>
      <c r="J135" s="53" t="str">
        <f>Графік!N130</f>
        <v/>
      </c>
      <c r="K135" s="33" t="str">
        <f>Графік!I130</f>
        <v/>
      </c>
      <c r="L135" s="33" t="str">
        <f>Графік!J130</f>
        <v/>
      </c>
      <c r="M135" s="34">
        <f>Графік!K130</f>
        <v>0</v>
      </c>
      <c r="N135" s="33" t="str">
        <f>Графік!L130</f>
        <v/>
      </c>
      <c r="O135" s="36" t="str">
        <f>Графік!P130</f>
        <v/>
      </c>
      <c r="P135" s="55" t="str">
        <f>Графік!Q130</f>
        <v/>
      </c>
    </row>
    <row r="136" spans="1:16" hidden="1" x14ac:dyDescent="0.25">
      <c r="A136" s="29" t="str">
        <f>Графік!A131</f>
        <v/>
      </c>
      <c r="B136" s="173" t="e">
        <f ca="1">Графік!C131</f>
        <v>#VALUE!</v>
      </c>
      <c r="C136" s="31" t="str">
        <f>Графік!D131</f>
        <v/>
      </c>
      <c r="D136" s="32" t="str">
        <f>Графік!E131</f>
        <v/>
      </c>
      <c r="E136" s="33" t="str">
        <f>Графік!H131</f>
        <v/>
      </c>
      <c r="F136" s="32" t="str">
        <f>Графік!F131</f>
        <v/>
      </c>
      <c r="G136" s="33" t="str">
        <f>Графік!G131</f>
        <v/>
      </c>
      <c r="H136" s="33" t="str">
        <f>Графік!M131</f>
        <v/>
      </c>
      <c r="I136" s="33"/>
      <c r="J136" s="53" t="str">
        <f>Графік!N131</f>
        <v/>
      </c>
      <c r="K136" s="33" t="str">
        <f>Графік!I131</f>
        <v/>
      </c>
      <c r="L136" s="33" t="str">
        <f>Графік!J131</f>
        <v/>
      </c>
      <c r="M136" s="34">
        <f>Графік!K131</f>
        <v>0</v>
      </c>
      <c r="N136" s="33" t="str">
        <f>Графік!L131</f>
        <v/>
      </c>
      <c r="O136" s="36" t="str">
        <f>Графік!P131</f>
        <v/>
      </c>
      <c r="P136" s="55" t="str">
        <f>Графік!Q131</f>
        <v/>
      </c>
    </row>
    <row r="137" spans="1:16" hidden="1" x14ac:dyDescent="0.25">
      <c r="A137" s="29" t="str">
        <f>Графік!A132</f>
        <v/>
      </c>
      <c r="B137" s="173" t="e">
        <f ca="1">Графік!C132</f>
        <v>#VALUE!</v>
      </c>
      <c r="C137" s="31" t="str">
        <f>Графік!D132</f>
        <v/>
      </c>
      <c r="D137" s="32" t="str">
        <f>Графік!E132</f>
        <v/>
      </c>
      <c r="E137" s="33" t="str">
        <f>Графік!H132</f>
        <v/>
      </c>
      <c r="F137" s="32" t="str">
        <f>Графік!F132</f>
        <v/>
      </c>
      <c r="G137" s="33" t="str">
        <f>Графік!G132</f>
        <v/>
      </c>
      <c r="H137" s="33" t="str">
        <f>Графік!M132</f>
        <v/>
      </c>
      <c r="I137" s="33"/>
      <c r="J137" s="53" t="str">
        <f>Графік!N132</f>
        <v/>
      </c>
      <c r="K137" s="33" t="str">
        <f>Графік!I132</f>
        <v/>
      </c>
      <c r="L137" s="33" t="str">
        <f>Графік!J132</f>
        <v/>
      </c>
      <c r="M137" s="34">
        <f>Графік!K132</f>
        <v>0</v>
      </c>
      <c r="N137" s="33" t="str">
        <f>Графік!L132</f>
        <v/>
      </c>
      <c r="O137" s="36" t="str">
        <f>Графік!P132</f>
        <v/>
      </c>
      <c r="P137" s="55" t="str">
        <f>Графік!Q132</f>
        <v/>
      </c>
    </row>
    <row r="138" spans="1:16" hidden="1" x14ac:dyDescent="0.25">
      <c r="A138" s="29" t="str">
        <f>Графік!A133</f>
        <v/>
      </c>
      <c r="B138" s="173" t="e">
        <f ca="1">Графік!C133</f>
        <v>#VALUE!</v>
      </c>
      <c r="C138" s="31" t="str">
        <f>Графік!D133</f>
        <v/>
      </c>
      <c r="D138" s="32" t="str">
        <f>Графік!E133</f>
        <v/>
      </c>
      <c r="E138" s="33" t="str">
        <f>Графік!H133</f>
        <v/>
      </c>
      <c r="F138" s="32" t="str">
        <f>Графік!F133</f>
        <v/>
      </c>
      <c r="G138" s="33" t="str">
        <f>Графік!G133</f>
        <v/>
      </c>
      <c r="H138" s="33" t="str">
        <f>Графік!M133</f>
        <v/>
      </c>
      <c r="I138" s="33"/>
      <c r="J138" s="53" t="str">
        <f>Графік!N133</f>
        <v/>
      </c>
      <c r="K138" s="33" t="str">
        <f>Графік!I133</f>
        <v/>
      </c>
      <c r="L138" s="33" t="str">
        <f>Графік!J133</f>
        <v/>
      </c>
      <c r="M138" s="33" t="str">
        <f>Графік!K133</f>
        <v/>
      </c>
      <c r="N138" s="33" t="str">
        <f>Графік!L133</f>
        <v/>
      </c>
      <c r="O138" s="36" t="str">
        <f>Графік!P133</f>
        <v/>
      </c>
      <c r="P138" s="55" t="str">
        <f>Графік!Q133</f>
        <v/>
      </c>
    </row>
    <row r="139" spans="1:16" hidden="1" x14ac:dyDescent="0.25">
      <c r="A139" s="29" t="str">
        <f>Графік!A134</f>
        <v/>
      </c>
      <c r="B139" s="173" t="e">
        <f ca="1">Графік!C134</f>
        <v>#VALUE!</v>
      </c>
      <c r="C139" s="31" t="str">
        <f>Графік!D134</f>
        <v/>
      </c>
      <c r="D139" s="32" t="str">
        <f>Графік!E134</f>
        <v/>
      </c>
      <c r="E139" s="33" t="str">
        <f>Графік!H134</f>
        <v/>
      </c>
      <c r="F139" s="32" t="str">
        <f>Графік!F134</f>
        <v/>
      </c>
      <c r="G139" s="33" t="str">
        <f>Графік!G134</f>
        <v/>
      </c>
      <c r="H139" s="33" t="str">
        <f>Графік!M134</f>
        <v/>
      </c>
      <c r="I139" s="33"/>
      <c r="J139" s="53" t="str">
        <f>Графік!N134</f>
        <v/>
      </c>
      <c r="K139" s="33" t="str">
        <f>Графік!I134</f>
        <v/>
      </c>
      <c r="L139" s="33" t="str">
        <f>Графік!J134</f>
        <v/>
      </c>
      <c r="M139" s="34">
        <f>Графік!K134</f>
        <v>0</v>
      </c>
      <c r="N139" s="33" t="str">
        <f>Графік!L134</f>
        <v/>
      </c>
      <c r="O139" s="36" t="str">
        <f>Графік!P134</f>
        <v/>
      </c>
      <c r="P139" s="55" t="str">
        <f>Графік!Q134</f>
        <v/>
      </c>
    </row>
    <row r="140" spans="1:16" hidden="1" x14ac:dyDescent="0.25">
      <c r="A140" s="29" t="str">
        <f>Графік!A135</f>
        <v/>
      </c>
      <c r="B140" s="173" t="e">
        <f ca="1">Графік!C135</f>
        <v>#VALUE!</v>
      </c>
      <c r="C140" s="31" t="str">
        <f>Графік!D135</f>
        <v/>
      </c>
      <c r="D140" s="32" t="str">
        <f>Графік!E135</f>
        <v/>
      </c>
      <c r="E140" s="33" t="str">
        <f>Графік!H135</f>
        <v/>
      </c>
      <c r="F140" s="32" t="str">
        <f>Графік!F135</f>
        <v/>
      </c>
      <c r="G140" s="33" t="str">
        <f>Графік!G135</f>
        <v/>
      </c>
      <c r="H140" s="33" t="str">
        <f>Графік!M135</f>
        <v/>
      </c>
      <c r="I140" s="33"/>
      <c r="J140" s="53" t="str">
        <f>Графік!N135</f>
        <v/>
      </c>
      <c r="K140" s="33" t="str">
        <f>Графік!I135</f>
        <v/>
      </c>
      <c r="L140" s="33" t="str">
        <f>Графік!J135</f>
        <v/>
      </c>
      <c r="M140" s="34">
        <f>Графік!K135</f>
        <v>0</v>
      </c>
      <c r="N140" s="33" t="str">
        <f>Графік!L135</f>
        <v/>
      </c>
      <c r="O140" s="36" t="str">
        <f>Графік!P135</f>
        <v/>
      </c>
      <c r="P140" s="55" t="str">
        <f>Графік!Q135</f>
        <v/>
      </c>
    </row>
    <row r="141" spans="1:16" hidden="1" x14ac:dyDescent="0.25">
      <c r="A141" s="29" t="str">
        <f>Графік!A136</f>
        <v/>
      </c>
      <c r="B141" s="173" t="e">
        <f ca="1">Графік!C136</f>
        <v>#VALUE!</v>
      </c>
      <c r="C141" s="31" t="str">
        <f>Графік!D136</f>
        <v/>
      </c>
      <c r="D141" s="32" t="str">
        <f>Графік!E136</f>
        <v/>
      </c>
      <c r="E141" s="33" t="str">
        <f>Графік!H136</f>
        <v/>
      </c>
      <c r="F141" s="32" t="str">
        <f>Графік!F136</f>
        <v/>
      </c>
      <c r="G141" s="33" t="str">
        <f>Графік!G136</f>
        <v/>
      </c>
      <c r="H141" s="33" t="str">
        <f>Графік!M136</f>
        <v/>
      </c>
      <c r="I141" s="33"/>
      <c r="J141" s="53" t="str">
        <f>Графік!N136</f>
        <v/>
      </c>
      <c r="K141" s="33" t="str">
        <f>Графік!I136</f>
        <v/>
      </c>
      <c r="L141" s="33" t="str">
        <f>Графік!J136</f>
        <v/>
      </c>
      <c r="M141" s="34">
        <f>Графік!K136</f>
        <v>0</v>
      </c>
      <c r="N141" s="33" t="str">
        <f>Графік!L136</f>
        <v/>
      </c>
      <c r="O141" s="36" t="str">
        <f>Графік!P136</f>
        <v/>
      </c>
      <c r="P141" s="55" t="str">
        <f>Графік!Q136</f>
        <v/>
      </c>
    </row>
    <row r="142" spans="1:16" hidden="1" x14ac:dyDescent="0.25">
      <c r="A142" s="29" t="str">
        <f>Графік!A137</f>
        <v/>
      </c>
      <c r="B142" s="173" t="e">
        <f ca="1">Графік!C137</f>
        <v>#VALUE!</v>
      </c>
      <c r="C142" s="31" t="str">
        <f>Графік!D137</f>
        <v/>
      </c>
      <c r="D142" s="32" t="str">
        <f>Графік!E137</f>
        <v/>
      </c>
      <c r="E142" s="33" t="str">
        <f>Графік!H137</f>
        <v/>
      </c>
      <c r="F142" s="32" t="str">
        <f>Графік!F137</f>
        <v/>
      </c>
      <c r="G142" s="33" t="str">
        <f>Графік!G137</f>
        <v/>
      </c>
      <c r="H142" s="33" t="str">
        <f>Графік!M137</f>
        <v/>
      </c>
      <c r="I142" s="33"/>
      <c r="J142" s="53" t="str">
        <f>Графік!N137</f>
        <v/>
      </c>
      <c r="K142" s="33" t="str">
        <f>Графік!I137</f>
        <v/>
      </c>
      <c r="L142" s="33" t="str">
        <f>Графік!J137</f>
        <v/>
      </c>
      <c r="M142" s="34">
        <f>Графік!K137</f>
        <v>0</v>
      </c>
      <c r="N142" s="33" t="str">
        <f>Графік!L137</f>
        <v/>
      </c>
      <c r="O142" s="36" t="str">
        <f>Графік!P137</f>
        <v/>
      </c>
      <c r="P142" s="55" t="str">
        <f>Графік!Q137</f>
        <v/>
      </c>
    </row>
    <row r="143" spans="1:16" hidden="1" x14ac:dyDescent="0.25">
      <c r="A143" s="29" t="str">
        <f>Графік!A138</f>
        <v/>
      </c>
      <c r="B143" s="173" t="e">
        <f ca="1">Графік!C138</f>
        <v>#VALUE!</v>
      </c>
      <c r="C143" s="31" t="str">
        <f>Графік!D138</f>
        <v/>
      </c>
      <c r="D143" s="32" t="str">
        <f>Графік!E138</f>
        <v/>
      </c>
      <c r="E143" s="33" t="str">
        <f>Графік!H138</f>
        <v/>
      </c>
      <c r="F143" s="32" t="str">
        <f>Графік!F138</f>
        <v/>
      </c>
      <c r="G143" s="33" t="str">
        <f>Графік!G138</f>
        <v/>
      </c>
      <c r="H143" s="33" t="str">
        <f>Графік!M138</f>
        <v/>
      </c>
      <c r="I143" s="33"/>
      <c r="J143" s="53" t="str">
        <f>Графік!N138</f>
        <v/>
      </c>
      <c r="K143" s="33" t="str">
        <f>Графік!I138</f>
        <v/>
      </c>
      <c r="L143" s="33" t="str">
        <f>Графік!J138</f>
        <v/>
      </c>
      <c r="M143" s="34">
        <f>Графік!K138</f>
        <v>0</v>
      </c>
      <c r="N143" s="33" t="str">
        <f>Графік!L138</f>
        <v/>
      </c>
      <c r="O143" s="36" t="str">
        <f>Графік!P138</f>
        <v/>
      </c>
      <c r="P143" s="55" t="str">
        <f>Графік!Q138</f>
        <v/>
      </c>
    </row>
    <row r="144" spans="1:16" hidden="1" x14ac:dyDescent="0.25">
      <c r="A144" s="29" t="str">
        <f>Графік!A139</f>
        <v/>
      </c>
      <c r="B144" s="173" t="e">
        <f ca="1">Графік!C139</f>
        <v>#VALUE!</v>
      </c>
      <c r="C144" s="31" t="str">
        <f>Графік!D139</f>
        <v/>
      </c>
      <c r="D144" s="32" t="str">
        <f>Графік!E139</f>
        <v/>
      </c>
      <c r="E144" s="33" t="str">
        <f>Графік!H139</f>
        <v/>
      </c>
      <c r="F144" s="32" t="str">
        <f>Графік!F139</f>
        <v/>
      </c>
      <c r="G144" s="33" t="str">
        <f>Графік!G139</f>
        <v/>
      </c>
      <c r="H144" s="33" t="str">
        <f>Графік!M139</f>
        <v/>
      </c>
      <c r="I144" s="33"/>
      <c r="J144" s="53" t="str">
        <f>Графік!N139</f>
        <v/>
      </c>
      <c r="K144" s="33" t="str">
        <f>Графік!I139</f>
        <v/>
      </c>
      <c r="L144" s="33" t="str">
        <f>Графік!J139</f>
        <v/>
      </c>
      <c r="M144" s="34">
        <f>Графік!K139</f>
        <v>0</v>
      </c>
      <c r="N144" s="33" t="str">
        <f>Графік!L139</f>
        <v/>
      </c>
      <c r="O144" s="36" t="str">
        <f>Графік!P139</f>
        <v/>
      </c>
      <c r="P144" s="55" t="str">
        <f>Графік!Q139</f>
        <v/>
      </c>
    </row>
    <row r="145" spans="1:16" hidden="1" x14ac:dyDescent="0.25">
      <c r="A145" s="29" t="str">
        <f>Графік!A140</f>
        <v/>
      </c>
      <c r="B145" s="173" t="e">
        <f ca="1">Графік!C140</f>
        <v>#VALUE!</v>
      </c>
      <c r="C145" s="31" t="str">
        <f>Графік!D140</f>
        <v/>
      </c>
      <c r="D145" s="32" t="str">
        <f>Графік!E140</f>
        <v/>
      </c>
      <c r="E145" s="33" t="str">
        <f>Графік!H140</f>
        <v/>
      </c>
      <c r="F145" s="32" t="str">
        <f>Графік!F140</f>
        <v/>
      </c>
      <c r="G145" s="33" t="str">
        <f>Графік!G140</f>
        <v/>
      </c>
      <c r="H145" s="33" t="str">
        <f>Графік!M140</f>
        <v/>
      </c>
      <c r="I145" s="33"/>
      <c r="J145" s="53" t="str">
        <f>Графік!N140</f>
        <v/>
      </c>
      <c r="K145" s="33" t="str">
        <f>Графік!I140</f>
        <v/>
      </c>
      <c r="L145" s="33" t="str">
        <f>Графік!J140</f>
        <v/>
      </c>
      <c r="M145" s="34">
        <f>Графік!K140</f>
        <v>0</v>
      </c>
      <c r="N145" s="33" t="str">
        <f>Графік!L140</f>
        <v/>
      </c>
      <c r="O145" s="36" t="str">
        <f>Графік!P140</f>
        <v/>
      </c>
      <c r="P145" s="55" t="str">
        <f>Графік!Q140</f>
        <v/>
      </c>
    </row>
    <row r="146" spans="1:16" hidden="1" x14ac:dyDescent="0.25">
      <c r="A146" s="29" t="str">
        <f>Графік!A141</f>
        <v/>
      </c>
      <c r="B146" s="173" t="e">
        <f ca="1">Графік!C141</f>
        <v>#VALUE!</v>
      </c>
      <c r="C146" s="31" t="str">
        <f>Графік!D141</f>
        <v/>
      </c>
      <c r="D146" s="32" t="str">
        <f>Графік!E141</f>
        <v/>
      </c>
      <c r="E146" s="33" t="str">
        <f>Графік!H141</f>
        <v/>
      </c>
      <c r="F146" s="32" t="str">
        <f>Графік!F141</f>
        <v/>
      </c>
      <c r="G146" s="33" t="str">
        <f>Графік!G141</f>
        <v/>
      </c>
      <c r="H146" s="33" t="str">
        <f>Графік!M141</f>
        <v/>
      </c>
      <c r="I146" s="33"/>
      <c r="J146" s="53" t="str">
        <f>Графік!N141</f>
        <v/>
      </c>
      <c r="K146" s="33" t="str">
        <f>Графік!I141</f>
        <v/>
      </c>
      <c r="L146" s="33" t="str">
        <f>Графік!J141</f>
        <v/>
      </c>
      <c r="M146" s="34">
        <f>Графік!K141</f>
        <v>0</v>
      </c>
      <c r="N146" s="33" t="str">
        <f>Графік!L141</f>
        <v/>
      </c>
      <c r="O146" s="36" t="str">
        <f>Графік!P141</f>
        <v/>
      </c>
      <c r="P146" s="55" t="str">
        <f>Графік!Q141</f>
        <v/>
      </c>
    </row>
    <row r="147" spans="1:16" hidden="1" x14ac:dyDescent="0.25">
      <c r="A147" s="29" t="str">
        <f>Графік!A142</f>
        <v/>
      </c>
      <c r="B147" s="173" t="e">
        <f ca="1">Графік!C142</f>
        <v>#VALUE!</v>
      </c>
      <c r="C147" s="31" t="str">
        <f>Графік!D142</f>
        <v/>
      </c>
      <c r="D147" s="32" t="str">
        <f>Графік!E142</f>
        <v/>
      </c>
      <c r="E147" s="33" t="str">
        <f>Графік!H142</f>
        <v/>
      </c>
      <c r="F147" s="32" t="str">
        <f>Графік!F142</f>
        <v/>
      </c>
      <c r="G147" s="33" t="str">
        <f>Графік!G142</f>
        <v/>
      </c>
      <c r="H147" s="33" t="str">
        <f>Графік!M142</f>
        <v/>
      </c>
      <c r="I147" s="33"/>
      <c r="J147" s="53" t="str">
        <f>Графік!N142</f>
        <v/>
      </c>
      <c r="K147" s="33" t="str">
        <f>Графік!I142</f>
        <v/>
      </c>
      <c r="L147" s="33" t="str">
        <f>Графік!J142</f>
        <v/>
      </c>
      <c r="M147" s="34">
        <f>Графік!K142</f>
        <v>0</v>
      </c>
      <c r="N147" s="33" t="str">
        <f>Графік!L142</f>
        <v/>
      </c>
      <c r="O147" s="36" t="str">
        <f>Графік!P142</f>
        <v/>
      </c>
      <c r="P147" s="55" t="str">
        <f>Графік!Q142</f>
        <v/>
      </c>
    </row>
    <row r="148" spans="1:16" hidden="1" x14ac:dyDescent="0.25">
      <c r="A148" s="29" t="str">
        <f>Графік!A143</f>
        <v/>
      </c>
      <c r="B148" s="173" t="e">
        <f ca="1">Графік!C143</f>
        <v>#VALUE!</v>
      </c>
      <c r="C148" s="31" t="str">
        <f>Графік!D143</f>
        <v/>
      </c>
      <c r="D148" s="32" t="str">
        <f>Графік!E143</f>
        <v/>
      </c>
      <c r="E148" s="33" t="str">
        <f>Графік!H143</f>
        <v/>
      </c>
      <c r="F148" s="32" t="str">
        <f>Графік!F143</f>
        <v/>
      </c>
      <c r="G148" s="33" t="str">
        <f>Графік!G143</f>
        <v/>
      </c>
      <c r="H148" s="33" t="str">
        <f>Графік!M143</f>
        <v/>
      </c>
      <c r="I148" s="33"/>
      <c r="J148" s="53" t="str">
        <f>Графік!N143</f>
        <v/>
      </c>
      <c r="K148" s="33" t="str">
        <f>Графік!I143</f>
        <v/>
      </c>
      <c r="L148" s="33" t="str">
        <f>Графік!J143</f>
        <v/>
      </c>
      <c r="M148" s="34">
        <f>Графік!K143</f>
        <v>0</v>
      </c>
      <c r="N148" s="33" t="str">
        <f>Графік!L143</f>
        <v/>
      </c>
      <c r="O148" s="36" t="str">
        <f>Графік!P143</f>
        <v/>
      </c>
      <c r="P148" s="55" t="str">
        <f>Графік!Q143</f>
        <v/>
      </c>
    </row>
    <row r="149" spans="1:16" hidden="1" x14ac:dyDescent="0.25">
      <c r="A149" s="29" t="str">
        <f>Графік!A144</f>
        <v/>
      </c>
      <c r="B149" s="173" t="e">
        <f ca="1">Графік!C144</f>
        <v>#VALUE!</v>
      </c>
      <c r="C149" s="31" t="str">
        <f>Графік!D144</f>
        <v/>
      </c>
      <c r="D149" s="32" t="str">
        <f>Графік!E144</f>
        <v/>
      </c>
      <c r="E149" s="33" t="str">
        <f>Графік!H144</f>
        <v/>
      </c>
      <c r="F149" s="32" t="str">
        <f>Графік!F144</f>
        <v/>
      </c>
      <c r="G149" s="33" t="str">
        <f>Графік!G144</f>
        <v/>
      </c>
      <c r="H149" s="33" t="str">
        <f>Графік!M144</f>
        <v/>
      </c>
      <c r="I149" s="33"/>
      <c r="J149" s="53" t="str">
        <f>Графік!N144</f>
        <v/>
      </c>
      <c r="K149" s="33" t="str">
        <f>Графік!I144</f>
        <v/>
      </c>
      <c r="L149" s="33" t="str">
        <f>Графік!J144</f>
        <v/>
      </c>
      <c r="M149" s="34">
        <f>Графік!K144</f>
        <v>0</v>
      </c>
      <c r="N149" s="33" t="str">
        <f>Графік!L144</f>
        <v/>
      </c>
      <c r="O149" s="36" t="str">
        <f>Графік!P144</f>
        <v/>
      </c>
      <c r="P149" s="55" t="str">
        <f>Графік!Q144</f>
        <v/>
      </c>
    </row>
    <row r="150" spans="1:16" hidden="1" x14ac:dyDescent="0.25">
      <c r="A150" s="29" t="str">
        <f>Графік!A145</f>
        <v/>
      </c>
      <c r="B150" s="173" t="e">
        <f ca="1">Графік!C145</f>
        <v>#VALUE!</v>
      </c>
      <c r="C150" s="31" t="str">
        <f>Графік!D145</f>
        <v/>
      </c>
      <c r="D150" s="32" t="str">
        <f>Графік!E145</f>
        <v/>
      </c>
      <c r="E150" s="33" t="str">
        <f>Графік!H145</f>
        <v/>
      </c>
      <c r="F150" s="32" t="str">
        <f>Графік!F145</f>
        <v/>
      </c>
      <c r="G150" s="33" t="str">
        <f>Графік!G145</f>
        <v/>
      </c>
      <c r="H150" s="33" t="str">
        <f>Графік!M145</f>
        <v/>
      </c>
      <c r="I150" s="33"/>
      <c r="J150" s="53" t="str">
        <f>Графік!N145</f>
        <v/>
      </c>
      <c r="K150" s="33" t="str">
        <f>Графік!I145</f>
        <v/>
      </c>
      <c r="L150" s="33" t="str">
        <f>Графік!J145</f>
        <v/>
      </c>
      <c r="M150" s="33" t="str">
        <f>Графік!K145</f>
        <v/>
      </c>
      <c r="N150" s="33" t="str">
        <f>Графік!L145</f>
        <v/>
      </c>
      <c r="O150" s="36" t="str">
        <f>Графік!P145</f>
        <v/>
      </c>
      <c r="P150" s="55" t="str">
        <f>Графік!Q145</f>
        <v/>
      </c>
    </row>
    <row r="151" spans="1:16" hidden="1" x14ac:dyDescent="0.25">
      <c r="A151" s="29" t="str">
        <f>Графік!A146</f>
        <v/>
      </c>
      <c r="B151" s="173" t="e">
        <f ca="1">Графік!C146</f>
        <v>#VALUE!</v>
      </c>
      <c r="C151" s="31" t="str">
        <f>Графік!D146</f>
        <v/>
      </c>
      <c r="D151" s="32" t="str">
        <f>Графік!E146</f>
        <v/>
      </c>
      <c r="E151" s="33" t="str">
        <f>Графік!H146</f>
        <v/>
      </c>
      <c r="F151" s="32" t="str">
        <f>Графік!F146</f>
        <v/>
      </c>
      <c r="G151" s="33" t="str">
        <f>Графік!G146</f>
        <v/>
      </c>
      <c r="H151" s="33" t="str">
        <f>Графік!M146</f>
        <v/>
      </c>
      <c r="I151" s="33"/>
      <c r="J151" s="53" t="str">
        <f>Графік!N146</f>
        <v/>
      </c>
      <c r="K151" s="33" t="str">
        <f>Графік!I146</f>
        <v/>
      </c>
      <c r="L151" s="33" t="str">
        <f>Графік!J146</f>
        <v/>
      </c>
      <c r="M151" s="34">
        <f>Графік!K146</f>
        <v>0</v>
      </c>
      <c r="N151" s="33" t="str">
        <f>Графік!L146</f>
        <v/>
      </c>
      <c r="O151" s="36" t="str">
        <f>Графік!P146</f>
        <v/>
      </c>
      <c r="P151" s="55" t="str">
        <f>Графік!Q146</f>
        <v/>
      </c>
    </row>
    <row r="152" spans="1:16" hidden="1" x14ac:dyDescent="0.25">
      <c r="A152" s="29" t="str">
        <f>Графік!A147</f>
        <v/>
      </c>
      <c r="B152" s="173" t="e">
        <f ca="1">Графік!C147</f>
        <v>#VALUE!</v>
      </c>
      <c r="C152" s="31" t="str">
        <f>Графік!D147</f>
        <v/>
      </c>
      <c r="D152" s="32" t="str">
        <f>Графік!E147</f>
        <v/>
      </c>
      <c r="E152" s="33" t="str">
        <f>Графік!H147</f>
        <v/>
      </c>
      <c r="F152" s="32" t="str">
        <f>Графік!F147</f>
        <v/>
      </c>
      <c r="G152" s="33" t="str">
        <f>Графік!G147</f>
        <v/>
      </c>
      <c r="H152" s="33" t="str">
        <f>Графік!M147</f>
        <v/>
      </c>
      <c r="I152" s="33"/>
      <c r="J152" s="53" t="str">
        <f>Графік!N147</f>
        <v/>
      </c>
      <c r="K152" s="33" t="str">
        <f>Графік!I147</f>
        <v/>
      </c>
      <c r="L152" s="33" t="str">
        <f>Графік!J147</f>
        <v/>
      </c>
      <c r="M152" s="34">
        <f>Графік!K147</f>
        <v>0</v>
      </c>
      <c r="N152" s="33" t="str">
        <f>Графік!L147</f>
        <v/>
      </c>
      <c r="O152" s="36" t="str">
        <f>Графік!P147</f>
        <v/>
      </c>
      <c r="P152" s="55" t="str">
        <f>Графік!Q147</f>
        <v/>
      </c>
    </row>
    <row r="153" spans="1:16" hidden="1" x14ac:dyDescent="0.25">
      <c r="A153" s="29" t="str">
        <f>Графік!A148</f>
        <v/>
      </c>
      <c r="B153" s="173" t="e">
        <f ca="1">Графік!C148</f>
        <v>#VALUE!</v>
      </c>
      <c r="C153" s="31" t="str">
        <f>Графік!D148</f>
        <v/>
      </c>
      <c r="D153" s="32" t="str">
        <f>Графік!E148</f>
        <v/>
      </c>
      <c r="E153" s="33" t="str">
        <f>Графік!H148</f>
        <v/>
      </c>
      <c r="F153" s="32" t="str">
        <f>Графік!F148</f>
        <v/>
      </c>
      <c r="G153" s="33" t="str">
        <f>Графік!G148</f>
        <v/>
      </c>
      <c r="H153" s="33" t="str">
        <f>Графік!M148</f>
        <v/>
      </c>
      <c r="I153" s="33"/>
      <c r="J153" s="53" t="str">
        <f>Графік!N148</f>
        <v/>
      </c>
      <c r="K153" s="33" t="str">
        <f>Графік!I148</f>
        <v/>
      </c>
      <c r="L153" s="33" t="str">
        <f>Графік!J148</f>
        <v/>
      </c>
      <c r="M153" s="34">
        <f>Графік!K148</f>
        <v>0</v>
      </c>
      <c r="N153" s="33" t="str">
        <f>Графік!L148</f>
        <v/>
      </c>
      <c r="O153" s="36" t="str">
        <f>Графік!P148</f>
        <v/>
      </c>
      <c r="P153" s="55" t="str">
        <f>Графік!Q148</f>
        <v/>
      </c>
    </row>
    <row r="154" spans="1:16" hidden="1" x14ac:dyDescent="0.25">
      <c r="A154" s="29" t="str">
        <f>Графік!A149</f>
        <v/>
      </c>
      <c r="B154" s="173" t="e">
        <f ca="1">Графік!C149</f>
        <v>#VALUE!</v>
      </c>
      <c r="C154" s="31" t="str">
        <f>Графік!D149</f>
        <v/>
      </c>
      <c r="D154" s="32" t="str">
        <f>Графік!E149</f>
        <v/>
      </c>
      <c r="E154" s="33" t="str">
        <f>Графік!H149</f>
        <v/>
      </c>
      <c r="F154" s="32" t="str">
        <f>Графік!F149</f>
        <v/>
      </c>
      <c r="G154" s="33" t="str">
        <f>Графік!G149</f>
        <v/>
      </c>
      <c r="H154" s="33" t="str">
        <f>Графік!M149</f>
        <v/>
      </c>
      <c r="I154" s="33"/>
      <c r="J154" s="53" t="str">
        <f>Графік!N149</f>
        <v/>
      </c>
      <c r="K154" s="33" t="str">
        <f>Графік!I149</f>
        <v/>
      </c>
      <c r="L154" s="33" t="str">
        <f>Графік!J149</f>
        <v/>
      </c>
      <c r="M154" s="34">
        <f>Графік!K149</f>
        <v>0</v>
      </c>
      <c r="N154" s="33" t="str">
        <f>Графік!L149</f>
        <v/>
      </c>
      <c r="O154" s="36" t="str">
        <f>Графік!P149</f>
        <v/>
      </c>
      <c r="P154" s="55" t="str">
        <f>Графік!Q149</f>
        <v/>
      </c>
    </row>
    <row r="155" spans="1:16" hidden="1" x14ac:dyDescent="0.25">
      <c r="A155" s="29" t="str">
        <f>Графік!A150</f>
        <v/>
      </c>
      <c r="B155" s="173" t="e">
        <f ca="1">Графік!C150</f>
        <v>#VALUE!</v>
      </c>
      <c r="C155" s="31" t="str">
        <f>Графік!D150</f>
        <v/>
      </c>
      <c r="D155" s="32" t="str">
        <f>Графік!E150</f>
        <v/>
      </c>
      <c r="E155" s="33" t="str">
        <f>Графік!H150</f>
        <v/>
      </c>
      <c r="F155" s="32" t="str">
        <f>Графік!F150</f>
        <v/>
      </c>
      <c r="G155" s="33" t="str">
        <f>Графік!G150</f>
        <v/>
      </c>
      <c r="H155" s="33" t="str">
        <f>Графік!M150</f>
        <v/>
      </c>
      <c r="I155" s="33"/>
      <c r="J155" s="53" t="str">
        <f>Графік!N150</f>
        <v/>
      </c>
      <c r="K155" s="33" t="str">
        <f>Графік!I150</f>
        <v/>
      </c>
      <c r="L155" s="33" t="str">
        <f>Графік!J150</f>
        <v/>
      </c>
      <c r="M155" s="34">
        <f>Графік!K150</f>
        <v>0</v>
      </c>
      <c r="N155" s="33" t="str">
        <f>Графік!L150</f>
        <v/>
      </c>
      <c r="O155" s="36" t="str">
        <f>Графік!P150</f>
        <v/>
      </c>
      <c r="P155" s="55" t="str">
        <f>Графік!Q150</f>
        <v/>
      </c>
    </row>
    <row r="156" spans="1:16" hidden="1" x14ac:dyDescent="0.25">
      <c r="A156" s="29" t="str">
        <f>Графік!A151</f>
        <v/>
      </c>
      <c r="B156" s="173" t="e">
        <f ca="1">Графік!C151</f>
        <v>#VALUE!</v>
      </c>
      <c r="C156" s="31" t="str">
        <f>Графік!D151</f>
        <v/>
      </c>
      <c r="D156" s="32" t="str">
        <f>Графік!E151</f>
        <v/>
      </c>
      <c r="E156" s="33" t="str">
        <f>Графік!H151</f>
        <v/>
      </c>
      <c r="F156" s="32" t="str">
        <f>Графік!F151</f>
        <v/>
      </c>
      <c r="G156" s="33" t="str">
        <f>Графік!G151</f>
        <v/>
      </c>
      <c r="H156" s="33" t="str">
        <f>Графік!M151</f>
        <v/>
      </c>
      <c r="I156" s="33"/>
      <c r="J156" s="53" t="str">
        <f>Графік!N151</f>
        <v/>
      </c>
      <c r="K156" s="33" t="str">
        <f>Графік!I151</f>
        <v/>
      </c>
      <c r="L156" s="33" t="str">
        <f>Графік!J151</f>
        <v/>
      </c>
      <c r="M156" s="34">
        <f>Графік!K151</f>
        <v>0</v>
      </c>
      <c r="N156" s="33" t="str">
        <f>Графік!L151</f>
        <v/>
      </c>
      <c r="O156" s="36" t="str">
        <f>Графік!P151</f>
        <v/>
      </c>
      <c r="P156" s="55" t="str">
        <f>Графік!Q151</f>
        <v/>
      </c>
    </row>
    <row r="157" spans="1:16" hidden="1" x14ac:dyDescent="0.25">
      <c r="A157" s="29" t="str">
        <f>Графік!A152</f>
        <v/>
      </c>
      <c r="B157" s="173" t="e">
        <f ca="1">Графік!C152</f>
        <v>#VALUE!</v>
      </c>
      <c r="C157" s="31" t="str">
        <f>Графік!D152</f>
        <v/>
      </c>
      <c r="D157" s="32" t="str">
        <f>Графік!E152</f>
        <v/>
      </c>
      <c r="E157" s="33" t="str">
        <f>Графік!H152</f>
        <v/>
      </c>
      <c r="F157" s="32" t="str">
        <f>Графік!F152</f>
        <v/>
      </c>
      <c r="G157" s="33" t="str">
        <f>Графік!G152</f>
        <v/>
      </c>
      <c r="H157" s="33" t="str">
        <f>Графік!M152</f>
        <v/>
      </c>
      <c r="I157" s="33"/>
      <c r="J157" s="53" t="str">
        <f>Графік!N152</f>
        <v/>
      </c>
      <c r="K157" s="33" t="str">
        <f>Графік!I152</f>
        <v/>
      </c>
      <c r="L157" s="33" t="str">
        <f>Графік!J152</f>
        <v/>
      </c>
      <c r="M157" s="34">
        <f>Графік!K152</f>
        <v>0</v>
      </c>
      <c r="N157" s="33" t="str">
        <f>Графік!L152</f>
        <v/>
      </c>
      <c r="O157" s="36" t="str">
        <f>Графік!P152</f>
        <v/>
      </c>
      <c r="P157" s="55" t="str">
        <f>Графік!Q152</f>
        <v/>
      </c>
    </row>
    <row r="158" spans="1:16" hidden="1" x14ac:dyDescent="0.25">
      <c r="A158" s="29" t="str">
        <f>Графік!A153</f>
        <v/>
      </c>
      <c r="B158" s="173" t="e">
        <f ca="1">Графік!C153</f>
        <v>#VALUE!</v>
      </c>
      <c r="C158" s="31" t="str">
        <f>Графік!D153</f>
        <v/>
      </c>
      <c r="D158" s="32" t="str">
        <f>Графік!E153</f>
        <v/>
      </c>
      <c r="E158" s="33" t="str">
        <f>Графік!H153</f>
        <v/>
      </c>
      <c r="F158" s="32" t="str">
        <f>Графік!F153</f>
        <v/>
      </c>
      <c r="G158" s="33" t="str">
        <f>Графік!G153</f>
        <v/>
      </c>
      <c r="H158" s="33" t="str">
        <f>Графік!M153</f>
        <v/>
      </c>
      <c r="I158" s="33"/>
      <c r="J158" s="53" t="str">
        <f>Графік!N153</f>
        <v/>
      </c>
      <c r="K158" s="33" t="str">
        <f>Графік!I153</f>
        <v/>
      </c>
      <c r="L158" s="33" t="str">
        <f>Графік!J153</f>
        <v/>
      </c>
      <c r="M158" s="34">
        <f>Графік!K153</f>
        <v>0</v>
      </c>
      <c r="N158" s="33" t="str">
        <f>Графік!L153</f>
        <v/>
      </c>
      <c r="O158" s="36" t="str">
        <f>Графік!P153</f>
        <v/>
      </c>
      <c r="P158" s="55" t="str">
        <f>Графік!Q153</f>
        <v/>
      </c>
    </row>
    <row r="159" spans="1:16" hidden="1" x14ac:dyDescent="0.25">
      <c r="A159" s="29" t="str">
        <f>Графік!A154</f>
        <v/>
      </c>
      <c r="B159" s="173" t="e">
        <f ca="1">Графік!C154</f>
        <v>#VALUE!</v>
      </c>
      <c r="C159" s="31" t="str">
        <f>Графік!D154</f>
        <v/>
      </c>
      <c r="D159" s="32" t="str">
        <f>Графік!E154</f>
        <v/>
      </c>
      <c r="E159" s="33" t="str">
        <f>Графік!H154</f>
        <v/>
      </c>
      <c r="F159" s="32" t="str">
        <f>Графік!F154</f>
        <v/>
      </c>
      <c r="G159" s="33" t="str">
        <f>Графік!G154</f>
        <v/>
      </c>
      <c r="H159" s="33" t="str">
        <f>Графік!M154</f>
        <v/>
      </c>
      <c r="I159" s="33"/>
      <c r="J159" s="53" t="str">
        <f>Графік!N154</f>
        <v/>
      </c>
      <c r="K159" s="33" t="str">
        <f>Графік!I154</f>
        <v/>
      </c>
      <c r="L159" s="33" t="str">
        <f>Графік!J154</f>
        <v/>
      </c>
      <c r="M159" s="34">
        <f>Графік!K154</f>
        <v>0</v>
      </c>
      <c r="N159" s="33" t="str">
        <f>Графік!L154</f>
        <v/>
      </c>
      <c r="O159" s="36" t="str">
        <f>Графік!P154</f>
        <v/>
      </c>
      <c r="P159" s="55" t="str">
        <f>Графік!Q154</f>
        <v/>
      </c>
    </row>
    <row r="160" spans="1:16" hidden="1" x14ac:dyDescent="0.25">
      <c r="A160" s="29" t="str">
        <f>Графік!A155</f>
        <v/>
      </c>
      <c r="B160" s="173" t="e">
        <f ca="1">Графік!C155</f>
        <v>#VALUE!</v>
      </c>
      <c r="C160" s="31" t="str">
        <f>Графік!D155</f>
        <v/>
      </c>
      <c r="D160" s="32" t="str">
        <f>Графік!E155</f>
        <v/>
      </c>
      <c r="E160" s="33" t="str">
        <f>Графік!H155</f>
        <v/>
      </c>
      <c r="F160" s="32" t="str">
        <f>Графік!F155</f>
        <v/>
      </c>
      <c r="G160" s="33" t="str">
        <f>Графік!G155</f>
        <v/>
      </c>
      <c r="H160" s="33" t="str">
        <f>Графік!M155</f>
        <v/>
      </c>
      <c r="I160" s="33"/>
      <c r="J160" s="53" t="str">
        <f>Графік!N155</f>
        <v/>
      </c>
      <c r="K160" s="33" t="str">
        <f>Графік!I155</f>
        <v/>
      </c>
      <c r="L160" s="33" t="str">
        <f>Графік!J155</f>
        <v/>
      </c>
      <c r="M160" s="34">
        <f>Графік!K155</f>
        <v>0</v>
      </c>
      <c r="N160" s="33" t="str">
        <f>Графік!L155</f>
        <v/>
      </c>
      <c r="O160" s="36" t="str">
        <f>Графік!P155</f>
        <v/>
      </c>
      <c r="P160" s="55" t="str">
        <f>Графік!Q155</f>
        <v/>
      </c>
    </row>
    <row r="161" spans="1:16" hidden="1" x14ac:dyDescent="0.25">
      <c r="A161" s="29" t="str">
        <f>Графік!A156</f>
        <v/>
      </c>
      <c r="B161" s="173" t="e">
        <f ca="1">Графік!C156</f>
        <v>#VALUE!</v>
      </c>
      <c r="C161" s="31" t="str">
        <f>Графік!D156</f>
        <v/>
      </c>
      <c r="D161" s="32" t="str">
        <f>Графік!E156</f>
        <v/>
      </c>
      <c r="E161" s="33" t="str">
        <f>Графік!H156</f>
        <v/>
      </c>
      <c r="F161" s="32" t="str">
        <f>Графік!F156</f>
        <v/>
      </c>
      <c r="G161" s="33" t="str">
        <f>Графік!G156</f>
        <v/>
      </c>
      <c r="H161" s="33" t="str">
        <f>Графік!M156</f>
        <v/>
      </c>
      <c r="I161" s="33"/>
      <c r="J161" s="53" t="str">
        <f>Графік!N156</f>
        <v/>
      </c>
      <c r="K161" s="33" t="str">
        <f>Графік!I156</f>
        <v/>
      </c>
      <c r="L161" s="33" t="str">
        <f>Графік!J156</f>
        <v/>
      </c>
      <c r="M161" s="34">
        <f>Графік!K156</f>
        <v>0</v>
      </c>
      <c r="N161" s="33" t="str">
        <f>Графік!L156</f>
        <v/>
      </c>
      <c r="O161" s="36" t="str">
        <f>Графік!P156</f>
        <v/>
      </c>
      <c r="P161" s="55" t="str">
        <f>Графік!Q156</f>
        <v/>
      </c>
    </row>
    <row r="162" spans="1:16" hidden="1" x14ac:dyDescent="0.25">
      <c r="A162" s="29" t="str">
        <f>Графік!A157</f>
        <v/>
      </c>
      <c r="B162" s="173" t="e">
        <f ca="1">Графік!C157</f>
        <v>#VALUE!</v>
      </c>
      <c r="C162" s="31" t="str">
        <f>Графік!D157</f>
        <v/>
      </c>
      <c r="D162" s="32" t="str">
        <f>Графік!E157</f>
        <v/>
      </c>
      <c r="E162" s="33" t="str">
        <f>Графік!H157</f>
        <v/>
      </c>
      <c r="F162" s="32" t="str">
        <f>Графік!F157</f>
        <v/>
      </c>
      <c r="G162" s="33" t="str">
        <f>Графік!G157</f>
        <v/>
      </c>
      <c r="H162" s="33" t="str">
        <f>Графік!M157</f>
        <v/>
      </c>
      <c r="I162" s="33"/>
      <c r="J162" s="53" t="str">
        <f>Графік!N157</f>
        <v/>
      </c>
      <c r="K162" s="33" t="str">
        <f>Графік!I157</f>
        <v/>
      </c>
      <c r="L162" s="33" t="str">
        <f>Графік!J157</f>
        <v/>
      </c>
      <c r="M162" s="33" t="str">
        <f>Графік!K157</f>
        <v/>
      </c>
      <c r="N162" s="33" t="str">
        <f>Графік!L157</f>
        <v/>
      </c>
      <c r="O162" s="36" t="str">
        <f>Графік!P157</f>
        <v/>
      </c>
      <c r="P162" s="55" t="str">
        <f>Графік!Q157</f>
        <v/>
      </c>
    </row>
    <row r="163" spans="1:16" hidden="1" x14ac:dyDescent="0.25">
      <c r="A163" s="29" t="str">
        <f>Графік!A158</f>
        <v/>
      </c>
      <c r="B163" s="173" t="e">
        <f ca="1">Графік!C158</f>
        <v>#VALUE!</v>
      </c>
      <c r="C163" s="31" t="str">
        <f>Графік!D158</f>
        <v/>
      </c>
      <c r="D163" s="32" t="str">
        <f>Графік!E158</f>
        <v/>
      </c>
      <c r="E163" s="33" t="str">
        <f>Графік!H158</f>
        <v/>
      </c>
      <c r="F163" s="32" t="str">
        <f>Графік!F158</f>
        <v/>
      </c>
      <c r="G163" s="33" t="str">
        <f>Графік!G158</f>
        <v/>
      </c>
      <c r="H163" s="33" t="str">
        <f>Графік!M158</f>
        <v/>
      </c>
      <c r="I163" s="33"/>
      <c r="J163" s="53" t="str">
        <f>Графік!N158</f>
        <v/>
      </c>
      <c r="K163" s="33" t="str">
        <f>Графік!I158</f>
        <v/>
      </c>
      <c r="L163" s="33" t="str">
        <f>Графік!J158</f>
        <v/>
      </c>
      <c r="M163" s="34">
        <f>Графік!K158</f>
        <v>0</v>
      </c>
      <c r="N163" s="33" t="str">
        <f>Графік!L158</f>
        <v/>
      </c>
      <c r="O163" s="36" t="str">
        <f>Графік!P158</f>
        <v/>
      </c>
      <c r="P163" s="55" t="str">
        <f>Графік!Q158</f>
        <v/>
      </c>
    </row>
    <row r="164" spans="1:16" hidden="1" x14ac:dyDescent="0.25">
      <c r="A164" s="29" t="str">
        <f>Графік!A159</f>
        <v/>
      </c>
      <c r="B164" s="173" t="e">
        <f ca="1">Графік!C159</f>
        <v>#VALUE!</v>
      </c>
      <c r="C164" s="31" t="str">
        <f>Графік!D159</f>
        <v/>
      </c>
      <c r="D164" s="32" t="str">
        <f>Графік!E159</f>
        <v/>
      </c>
      <c r="E164" s="33" t="str">
        <f>Графік!H159</f>
        <v/>
      </c>
      <c r="F164" s="32" t="str">
        <f>Графік!F159</f>
        <v/>
      </c>
      <c r="G164" s="33" t="str">
        <f>Графік!G159</f>
        <v/>
      </c>
      <c r="H164" s="33" t="str">
        <f>Графік!M159</f>
        <v/>
      </c>
      <c r="I164" s="33"/>
      <c r="J164" s="53" t="str">
        <f>Графік!N159</f>
        <v/>
      </c>
      <c r="K164" s="33" t="str">
        <f>Графік!I159</f>
        <v/>
      </c>
      <c r="L164" s="33" t="str">
        <f>Графік!J159</f>
        <v/>
      </c>
      <c r="M164" s="34">
        <f>Графік!K159</f>
        <v>0</v>
      </c>
      <c r="N164" s="33" t="str">
        <f>Графік!L159</f>
        <v/>
      </c>
      <c r="O164" s="36" t="str">
        <f>Графік!P159</f>
        <v/>
      </c>
      <c r="P164" s="55" t="str">
        <f>Графік!Q159</f>
        <v/>
      </c>
    </row>
    <row r="165" spans="1:16" hidden="1" x14ac:dyDescent="0.25">
      <c r="A165" s="29" t="str">
        <f>Графік!A160</f>
        <v/>
      </c>
      <c r="B165" s="173" t="e">
        <f ca="1">Графік!C160</f>
        <v>#VALUE!</v>
      </c>
      <c r="C165" s="31" t="str">
        <f>Графік!D160</f>
        <v/>
      </c>
      <c r="D165" s="32" t="str">
        <f>Графік!E160</f>
        <v/>
      </c>
      <c r="E165" s="33" t="str">
        <f>Графік!H160</f>
        <v/>
      </c>
      <c r="F165" s="32" t="str">
        <f>Графік!F160</f>
        <v/>
      </c>
      <c r="G165" s="33" t="str">
        <f>Графік!G160</f>
        <v/>
      </c>
      <c r="H165" s="33" t="str">
        <f>Графік!M160</f>
        <v/>
      </c>
      <c r="I165" s="33"/>
      <c r="J165" s="53" t="str">
        <f>Графік!N160</f>
        <v/>
      </c>
      <c r="K165" s="33" t="str">
        <f>Графік!I160</f>
        <v/>
      </c>
      <c r="L165" s="33" t="str">
        <f>Графік!J160</f>
        <v/>
      </c>
      <c r="M165" s="34">
        <f>Графік!K160</f>
        <v>0</v>
      </c>
      <c r="N165" s="33" t="str">
        <f>Графік!L160</f>
        <v/>
      </c>
      <c r="O165" s="36" t="str">
        <f>Графік!P160</f>
        <v/>
      </c>
      <c r="P165" s="55" t="str">
        <f>Графік!Q160</f>
        <v/>
      </c>
    </row>
    <row r="166" spans="1:16" hidden="1" x14ac:dyDescent="0.25">
      <c r="A166" s="29" t="str">
        <f>Графік!A161</f>
        <v/>
      </c>
      <c r="B166" s="173" t="e">
        <f ca="1">Графік!C161</f>
        <v>#VALUE!</v>
      </c>
      <c r="C166" s="31" t="str">
        <f>Графік!D161</f>
        <v/>
      </c>
      <c r="D166" s="32" t="str">
        <f>Графік!E161</f>
        <v/>
      </c>
      <c r="E166" s="33" t="str">
        <f>Графік!H161</f>
        <v/>
      </c>
      <c r="F166" s="32" t="str">
        <f>Графік!F161</f>
        <v/>
      </c>
      <c r="G166" s="33" t="str">
        <f>Графік!G161</f>
        <v/>
      </c>
      <c r="H166" s="33" t="str">
        <f>Графік!M161</f>
        <v/>
      </c>
      <c r="I166" s="33"/>
      <c r="J166" s="53" t="str">
        <f>Графік!N161</f>
        <v/>
      </c>
      <c r="K166" s="33" t="str">
        <f>Графік!I161</f>
        <v/>
      </c>
      <c r="L166" s="33" t="str">
        <f>Графік!J161</f>
        <v/>
      </c>
      <c r="M166" s="34">
        <f>Графік!K161</f>
        <v>0</v>
      </c>
      <c r="N166" s="33" t="str">
        <f>Графік!L161</f>
        <v/>
      </c>
      <c r="O166" s="36" t="str">
        <f>Графік!P161</f>
        <v/>
      </c>
      <c r="P166" s="55" t="str">
        <f>Графік!Q161</f>
        <v/>
      </c>
    </row>
    <row r="167" spans="1:16" hidden="1" x14ac:dyDescent="0.25">
      <c r="A167" s="29" t="str">
        <f>Графік!A162</f>
        <v/>
      </c>
      <c r="B167" s="173" t="e">
        <f ca="1">Графік!C162</f>
        <v>#VALUE!</v>
      </c>
      <c r="C167" s="31" t="str">
        <f>Графік!D162</f>
        <v/>
      </c>
      <c r="D167" s="32" t="str">
        <f>Графік!E162</f>
        <v/>
      </c>
      <c r="E167" s="33" t="str">
        <f>Графік!H162</f>
        <v/>
      </c>
      <c r="F167" s="32" t="str">
        <f>Графік!F162</f>
        <v/>
      </c>
      <c r="G167" s="33" t="str">
        <f>Графік!G162</f>
        <v/>
      </c>
      <c r="H167" s="33" t="str">
        <f>Графік!M162</f>
        <v/>
      </c>
      <c r="I167" s="33"/>
      <c r="J167" s="53" t="str">
        <f>Графік!N162</f>
        <v/>
      </c>
      <c r="K167" s="33" t="str">
        <f>Графік!I162</f>
        <v/>
      </c>
      <c r="L167" s="33" t="str">
        <f>Графік!J162</f>
        <v/>
      </c>
      <c r="M167" s="34">
        <f>Графік!K162</f>
        <v>0</v>
      </c>
      <c r="N167" s="33" t="str">
        <f>Графік!L162</f>
        <v/>
      </c>
      <c r="O167" s="36" t="str">
        <f>Графік!P162</f>
        <v/>
      </c>
      <c r="P167" s="55" t="str">
        <f>Графік!Q162</f>
        <v/>
      </c>
    </row>
    <row r="168" spans="1:16" hidden="1" x14ac:dyDescent="0.25">
      <c r="A168" s="29" t="str">
        <f>Графік!A163</f>
        <v/>
      </c>
      <c r="B168" s="173" t="e">
        <f ca="1">Графік!C163</f>
        <v>#VALUE!</v>
      </c>
      <c r="C168" s="31" t="str">
        <f>Графік!D163</f>
        <v/>
      </c>
      <c r="D168" s="32" t="str">
        <f>Графік!E163</f>
        <v/>
      </c>
      <c r="E168" s="33" t="str">
        <f>Графік!H163</f>
        <v/>
      </c>
      <c r="F168" s="32" t="str">
        <f>Графік!F163</f>
        <v/>
      </c>
      <c r="G168" s="33" t="str">
        <f>Графік!G163</f>
        <v/>
      </c>
      <c r="H168" s="33" t="str">
        <f>Графік!M163</f>
        <v/>
      </c>
      <c r="I168" s="33"/>
      <c r="J168" s="53" t="str">
        <f>Графік!N163</f>
        <v/>
      </c>
      <c r="K168" s="33" t="str">
        <f>Графік!I163</f>
        <v/>
      </c>
      <c r="L168" s="33" t="str">
        <f>Графік!J163</f>
        <v/>
      </c>
      <c r="M168" s="34">
        <f>Графік!K163</f>
        <v>0</v>
      </c>
      <c r="N168" s="33" t="str">
        <f>Графік!L163</f>
        <v/>
      </c>
      <c r="O168" s="36" t="str">
        <f>Графік!P163</f>
        <v/>
      </c>
      <c r="P168" s="55" t="str">
        <f>Графік!Q163</f>
        <v/>
      </c>
    </row>
    <row r="169" spans="1:16" hidden="1" x14ac:dyDescent="0.25">
      <c r="A169" s="29" t="str">
        <f>Графік!A164</f>
        <v/>
      </c>
      <c r="B169" s="173" t="e">
        <f ca="1">Графік!C164</f>
        <v>#VALUE!</v>
      </c>
      <c r="C169" s="31" t="str">
        <f>Графік!D164</f>
        <v/>
      </c>
      <c r="D169" s="32" t="str">
        <f>Графік!E164</f>
        <v/>
      </c>
      <c r="E169" s="33" t="str">
        <f>Графік!H164</f>
        <v/>
      </c>
      <c r="F169" s="32" t="str">
        <f>Графік!F164</f>
        <v/>
      </c>
      <c r="G169" s="33" t="str">
        <f>Графік!G164</f>
        <v/>
      </c>
      <c r="H169" s="33" t="str">
        <f>Графік!M164</f>
        <v/>
      </c>
      <c r="I169" s="33"/>
      <c r="J169" s="53" t="str">
        <f>Графік!N164</f>
        <v/>
      </c>
      <c r="K169" s="33" t="str">
        <f>Графік!I164</f>
        <v/>
      </c>
      <c r="L169" s="33" t="str">
        <f>Графік!J164</f>
        <v/>
      </c>
      <c r="M169" s="34">
        <f>Графік!K164</f>
        <v>0</v>
      </c>
      <c r="N169" s="33" t="str">
        <f>Графік!L164</f>
        <v/>
      </c>
      <c r="O169" s="36" t="str">
        <f>Графік!P164</f>
        <v/>
      </c>
      <c r="P169" s="55" t="str">
        <f>Графік!Q164</f>
        <v/>
      </c>
    </row>
    <row r="170" spans="1:16" hidden="1" x14ac:dyDescent="0.25">
      <c r="A170" s="29" t="str">
        <f>Графік!A165</f>
        <v/>
      </c>
      <c r="B170" s="173" t="e">
        <f ca="1">Графік!C165</f>
        <v>#VALUE!</v>
      </c>
      <c r="C170" s="31" t="str">
        <f>Графік!D165</f>
        <v/>
      </c>
      <c r="D170" s="32" t="str">
        <f>Графік!E165</f>
        <v/>
      </c>
      <c r="E170" s="33" t="str">
        <f>Графік!H165</f>
        <v/>
      </c>
      <c r="F170" s="32" t="str">
        <f>Графік!F165</f>
        <v/>
      </c>
      <c r="G170" s="33" t="str">
        <f>Графік!G165</f>
        <v/>
      </c>
      <c r="H170" s="33" t="str">
        <f>Графік!M165</f>
        <v/>
      </c>
      <c r="I170" s="33"/>
      <c r="J170" s="53" t="str">
        <f>Графік!N165</f>
        <v/>
      </c>
      <c r="K170" s="33" t="str">
        <f>Графік!I165</f>
        <v/>
      </c>
      <c r="L170" s="33" t="str">
        <f>Графік!J165</f>
        <v/>
      </c>
      <c r="M170" s="34">
        <f>Графік!K165</f>
        <v>0</v>
      </c>
      <c r="N170" s="33" t="str">
        <f>Графік!L165</f>
        <v/>
      </c>
      <c r="O170" s="36" t="str">
        <f>Графік!P165</f>
        <v/>
      </c>
      <c r="P170" s="55" t="str">
        <f>Графік!Q165</f>
        <v/>
      </c>
    </row>
    <row r="171" spans="1:16" hidden="1" x14ac:dyDescent="0.25">
      <c r="A171" s="29" t="str">
        <f>Графік!A166</f>
        <v/>
      </c>
      <c r="B171" s="173" t="e">
        <f ca="1">Графік!C166</f>
        <v>#VALUE!</v>
      </c>
      <c r="C171" s="31" t="str">
        <f>Графік!D166</f>
        <v/>
      </c>
      <c r="D171" s="32" t="str">
        <f>Графік!E166</f>
        <v/>
      </c>
      <c r="E171" s="33" t="str">
        <f>Графік!H166</f>
        <v/>
      </c>
      <c r="F171" s="32" t="str">
        <f>Графік!F166</f>
        <v/>
      </c>
      <c r="G171" s="33" t="str">
        <f>Графік!G166</f>
        <v/>
      </c>
      <c r="H171" s="33" t="str">
        <f>Графік!M166</f>
        <v/>
      </c>
      <c r="I171" s="33"/>
      <c r="J171" s="53" t="str">
        <f>Графік!N166</f>
        <v/>
      </c>
      <c r="K171" s="33" t="str">
        <f>Графік!I166</f>
        <v/>
      </c>
      <c r="L171" s="33" t="str">
        <f>Графік!J166</f>
        <v/>
      </c>
      <c r="M171" s="34">
        <f>Графік!K166</f>
        <v>0</v>
      </c>
      <c r="N171" s="33" t="str">
        <f>Графік!L166</f>
        <v/>
      </c>
      <c r="O171" s="36" t="str">
        <f>Графік!P166</f>
        <v/>
      </c>
      <c r="P171" s="55" t="str">
        <f>Графік!Q166</f>
        <v/>
      </c>
    </row>
    <row r="172" spans="1:16" hidden="1" x14ac:dyDescent="0.25">
      <c r="A172" s="29" t="str">
        <f>Графік!A167</f>
        <v/>
      </c>
      <c r="B172" s="173" t="e">
        <f ca="1">Графік!C167</f>
        <v>#VALUE!</v>
      </c>
      <c r="C172" s="31" t="str">
        <f>Графік!D167</f>
        <v/>
      </c>
      <c r="D172" s="32" t="str">
        <f>Графік!E167</f>
        <v/>
      </c>
      <c r="E172" s="33" t="str">
        <f>Графік!H167</f>
        <v/>
      </c>
      <c r="F172" s="32" t="str">
        <f>Графік!F167</f>
        <v/>
      </c>
      <c r="G172" s="33" t="str">
        <f>Графік!G167</f>
        <v/>
      </c>
      <c r="H172" s="33" t="str">
        <f>Графік!M167</f>
        <v/>
      </c>
      <c r="I172" s="33"/>
      <c r="J172" s="53" t="str">
        <f>Графік!N167</f>
        <v/>
      </c>
      <c r="K172" s="33" t="str">
        <f>Графік!I167</f>
        <v/>
      </c>
      <c r="L172" s="33" t="str">
        <f>Графік!J167</f>
        <v/>
      </c>
      <c r="M172" s="34">
        <f>Графік!K167</f>
        <v>0</v>
      </c>
      <c r="N172" s="33" t="str">
        <f>Графік!L167</f>
        <v/>
      </c>
      <c r="O172" s="36" t="str">
        <f>Графік!P167</f>
        <v/>
      </c>
      <c r="P172" s="55" t="str">
        <f>Графік!Q167</f>
        <v/>
      </c>
    </row>
    <row r="173" spans="1:16" hidden="1" x14ac:dyDescent="0.25">
      <c r="A173" s="29" t="str">
        <f>Графік!A168</f>
        <v/>
      </c>
      <c r="B173" s="173" t="e">
        <f ca="1">Графік!C168</f>
        <v>#VALUE!</v>
      </c>
      <c r="C173" s="31" t="str">
        <f>Графік!D168</f>
        <v/>
      </c>
      <c r="D173" s="32" t="str">
        <f>Графік!E168</f>
        <v/>
      </c>
      <c r="E173" s="33" t="str">
        <f>Графік!H168</f>
        <v/>
      </c>
      <c r="F173" s="32" t="str">
        <f>Графік!F168</f>
        <v/>
      </c>
      <c r="G173" s="33" t="str">
        <f>Графік!G168</f>
        <v/>
      </c>
      <c r="H173" s="33" t="str">
        <f>Графік!M168</f>
        <v/>
      </c>
      <c r="I173" s="33"/>
      <c r="J173" s="53" t="str">
        <f>Графік!N168</f>
        <v/>
      </c>
      <c r="K173" s="33" t="str">
        <f>Графік!I168</f>
        <v/>
      </c>
      <c r="L173" s="33" t="str">
        <f>Графік!J168</f>
        <v/>
      </c>
      <c r="M173" s="34">
        <f>Графік!K168</f>
        <v>0</v>
      </c>
      <c r="N173" s="33" t="str">
        <f>Графік!L168</f>
        <v/>
      </c>
      <c r="O173" s="36" t="str">
        <f>Графік!P168</f>
        <v/>
      </c>
      <c r="P173" s="55" t="str">
        <f>Графік!Q168</f>
        <v/>
      </c>
    </row>
    <row r="174" spans="1:16" hidden="1" x14ac:dyDescent="0.25">
      <c r="A174" s="29" t="str">
        <f>Графік!A169</f>
        <v/>
      </c>
      <c r="B174" s="173" t="e">
        <f ca="1">Графік!C169</f>
        <v>#VALUE!</v>
      </c>
      <c r="C174" s="31" t="str">
        <f>Графік!D169</f>
        <v/>
      </c>
      <c r="D174" s="32" t="str">
        <f>Графік!E169</f>
        <v/>
      </c>
      <c r="E174" s="33" t="str">
        <f>Графік!H169</f>
        <v/>
      </c>
      <c r="F174" s="32" t="str">
        <f>Графік!F169</f>
        <v/>
      </c>
      <c r="G174" s="33" t="str">
        <f>Графік!G169</f>
        <v/>
      </c>
      <c r="H174" s="33" t="str">
        <f>Графік!M169</f>
        <v/>
      </c>
      <c r="I174" s="33"/>
      <c r="J174" s="53" t="str">
        <f>Графік!N169</f>
        <v/>
      </c>
      <c r="K174" s="33" t="str">
        <f>Графік!I169</f>
        <v/>
      </c>
      <c r="L174" s="33" t="str">
        <f>Графік!J169</f>
        <v/>
      </c>
      <c r="M174" s="33" t="str">
        <f>Графік!K169</f>
        <v/>
      </c>
      <c r="N174" s="33" t="str">
        <f>Графік!L169</f>
        <v/>
      </c>
      <c r="O174" s="36" t="str">
        <f>Графік!P169</f>
        <v/>
      </c>
      <c r="P174" s="55" t="str">
        <f>Графік!Q169</f>
        <v/>
      </c>
    </row>
    <row r="175" spans="1:16" hidden="1" x14ac:dyDescent="0.25">
      <c r="A175" s="29" t="str">
        <f>Графік!A170</f>
        <v/>
      </c>
      <c r="B175" s="173" t="e">
        <f ca="1">Графік!C170</f>
        <v>#VALUE!</v>
      </c>
      <c r="C175" s="31" t="str">
        <f>Графік!D170</f>
        <v/>
      </c>
      <c r="D175" s="32" t="str">
        <f>Графік!E170</f>
        <v/>
      </c>
      <c r="E175" s="33" t="str">
        <f>Графік!H170</f>
        <v/>
      </c>
      <c r="F175" s="32" t="str">
        <f>Графік!F170</f>
        <v/>
      </c>
      <c r="G175" s="33" t="str">
        <f>Графік!G170</f>
        <v/>
      </c>
      <c r="H175" s="33" t="str">
        <f>Графік!M170</f>
        <v/>
      </c>
      <c r="I175" s="33"/>
      <c r="J175" s="53" t="str">
        <f>Графік!N170</f>
        <v/>
      </c>
      <c r="K175" s="33" t="str">
        <f>Графік!I170</f>
        <v/>
      </c>
      <c r="L175" s="33" t="str">
        <f>Графік!J170</f>
        <v/>
      </c>
      <c r="M175" s="34">
        <f>Графік!K170</f>
        <v>0</v>
      </c>
      <c r="N175" s="33" t="str">
        <f>Графік!L170</f>
        <v/>
      </c>
      <c r="O175" s="36" t="str">
        <f>Графік!P170</f>
        <v/>
      </c>
      <c r="P175" s="55" t="str">
        <f>Графік!Q170</f>
        <v/>
      </c>
    </row>
    <row r="176" spans="1:16" hidden="1" x14ac:dyDescent="0.25">
      <c r="A176" s="29" t="str">
        <f>Графік!A171</f>
        <v/>
      </c>
      <c r="B176" s="173" t="e">
        <f ca="1">Графік!C171</f>
        <v>#VALUE!</v>
      </c>
      <c r="C176" s="31" t="str">
        <f>Графік!D171</f>
        <v/>
      </c>
      <c r="D176" s="32" t="str">
        <f>Графік!E171</f>
        <v/>
      </c>
      <c r="E176" s="33" t="str">
        <f>Графік!H171</f>
        <v/>
      </c>
      <c r="F176" s="32" t="str">
        <f>Графік!F171</f>
        <v/>
      </c>
      <c r="G176" s="33" t="str">
        <f>Графік!G171</f>
        <v/>
      </c>
      <c r="H176" s="33" t="str">
        <f>Графік!M171</f>
        <v/>
      </c>
      <c r="I176" s="33"/>
      <c r="J176" s="53" t="str">
        <f>Графік!N171</f>
        <v/>
      </c>
      <c r="K176" s="33" t="str">
        <f>Графік!I171</f>
        <v/>
      </c>
      <c r="L176" s="33" t="str">
        <f>Графік!J171</f>
        <v/>
      </c>
      <c r="M176" s="34">
        <f>Графік!K171</f>
        <v>0</v>
      </c>
      <c r="N176" s="33" t="str">
        <f>Графік!L171</f>
        <v/>
      </c>
      <c r="O176" s="36" t="str">
        <f>Графік!P171</f>
        <v/>
      </c>
      <c r="P176" s="55" t="str">
        <f>Графік!Q171</f>
        <v/>
      </c>
    </row>
    <row r="177" spans="1:16" hidden="1" x14ac:dyDescent="0.25">
      <c r="A177" s="29" t="str">
        <f>Графік!A172</f>
        <v/>
      </c>
      <c r="B177" s="173" t="e">
        <f ca="1">Графік!C172</f>
        <v>#VALUE!</v>
      </c>
      <c r="C177" s="31" t="str">
        <f>Графік!D172</f>
        <v/>
      </c>
      <c r="D177" s="32" t="str">
        <f>Графік!E172</f>
        <v/>
      </c>
      <c r="E177" s="33" t="str">
        <f>Графік!H172</f>
        <v/>
      </c>
      <c r="F177" s="32" t="str">
        <f>Графік!F172</f>
        <v/>
      </c>
      <c r="G177" s="33" t="str">
        <f>Графік!G172</f>
        <v/>
      </c>
      <c r="H177" s="33" t="str">
        <f>Графік!M172</f>
        <v/>
      </c>
      <c r="I177" s="33"/>
      <c r="J177" s="53" t="str">
        <f>Графік!N172</f>
        <v/>
      </c>
      <c r="K177" s="33" t="str">
        <f>Графік!I172</f>
        <v/>
      </c>
      <c r="L177" s="33" t="str">
        <f>Графік!J172</f>
        <v/>
      </c>
      <c r="M177" s="34">
        <f>Графік!K172</f>
        <v>0</v>
      </c>
      <c r="N177" s="33" t="str">
        <f>Графік!L172</f>
        <v/>
      </c>
      <c r="O177" s="36" t="str">
        <f>Графік!P172</f>
        <v/>
      </c>
      <c r="P177" s="55" t="str">
        <f>Графік!Q172</f>
        <v/>
      </c>
    </row>
    <row r="178" spans="1:16" hidden="1" x14ac:dyDescent="0.25">
      <c r="A178" s="29" t="str">
        <f>Графік!A173</f>
        <v/>
      </c>
      <c r="B178" s="173" t="e">
        <f ca="1">Графік!C173</f>
        <v>#VALUE!</v>
      </c>
      <c r="C178" s="31" t="str">
        <f>Графік!D173</f>
        <v/>
      </c>
      <c r="D178" s="32" t="str">
        <f>Графік!E173</f>
        <v/>
      </c>
      <c r="E178" s="33" t="str">
        <f>Графік!H173</f>
        <v/>
      </c>
      <c r="F178" s="32" t="str">
        <f>Графік!F173</f>
        <v/>
      </c>
      <c r="G178" s="33" t="str">
        <f>Графік!G173</f>
        <v/>
      </c>
      <c r="H178" s="33" t="str">
        <f>Графік!M173</f>
        <v/>
      </c>
      <c r="I178" s="33"/>
      <c r="J178" s="53" t="str">
        <f>Графік!N173</f>
        <v/>
      </c>
      <c r="K178" s="33" t="str">
        <f>Графік!I173</f>
        <v/>
      </c>
      <c r="L178" s="33" t="str">
        <f>Графік!J173</f>
        <v/>
      </c>
      <c r="M178" s="34">
        <f>Графік!K173</f>
        <v>0</v>
      </c>
      <c r="N178" s="33" t="str">
        <f>Графік!L173</f>
        <v/>
      </c>
      <c r="O178" s="36" t="str">
        <f>Графік!P173</f>
        <v/>
      </c>
      <c r="P178" s="55" t="str">
        <f>Графік!Q173</f>
        <v/>
      </c>
    </row>
    <row r="179" spans="1:16" hidden="1" x14ac:dyDescent="0.25">
      <c r="A179" s="29" t="str">
        <f>Графік!A174</f>
        <v/>
      </c>
      <c r="B179" s="173" t="e">
        <f ca="1">Графік!C174</f>
        <v>#VALUE!</v>
      </c>
      <c r="C179" s="31" t="str">
        <f>Графік!D174</f>
        <v/>
      </c>
      <c r="D179" s="32" t="str">
        <f>Графік!E174</f>
        <v/>
      </c>
      <c r="E179" s="33" t="str">
        <f>Графік!H174</f>
        <v/>
      </c>
      <c r="F179" s="32" t="str">
        <f>Графік!F174</f>
        <v/>
      </c>
      <c r="G179" s="33" t="str">
        <f>Графік!G174</f>
        <v/>
      </c>
      <c r="H179" s="33" t="str">
        <f>Графік!M174</f>
        <v/>
      </c>
      <c r="I179" s="33"/>
      <c r="J179" s="53" t="str">
        <f>Графік!N174</f>
        <v/>
      </c>
      <c r="K179" s="33" t="str">
        <f>Графік!I174</f>
        <v/>
      </c>
      <c r="L179" s="33" t="str">
        <f>Графік!J174</f>
        <v/>
      </c>
      <c r="M179" s="34">
        <f>Графік!K174</f>
        <v>0</v>
      </c>
      <c r="N179" s="33" t="str">
        <f>Графік!L174</f>
        <v/>
      </c>
      <c r="O179" s="36" t="str">
        <f>Графік!P174</f>
        <v/>
      </c>
      <c r="P179" s="55" t="str">
        <f>Графік!Q174</f>
        <v/>
      </c>
    </row>
    <row r="180" spans="1:16" hidden="1" x14ac:dyDescent="0.25">
      <c r="A180" s="29" t="str">
        <f>Графік!A175</f>
        <v/>
      </c>
      <c r="B180" s="173" t="e">
        <f ca="1">Графік!C175</f>
        <v>#VALUE!</v>
      </c>
      <c r="C180" s="31" t="str">
        <f>Графік!D175</f>
        <v/>
      </c>
      <c r="D180" s="32" t="str">
        <f>Графік!E175</f>
        <v/>
      </c>
      <c r="E180" s="33" t="str">
        <f>Графік!H175</f>
        <v/>
      </c>
      <c r="F180" s="32" t="str">
        <f>Графік!F175</f>
        <v/>
      </c>
      <c r="G180" s="33" t="str">
        <f>Графік!G175</f>
        <v/>
      </c>
      <c r="H180" s="33" t="str">
        <f>Графік!M175</f>
        <v/>
      </c>
      <c r="I180" s="33"/>
      <c r="J180" s="53" t="str">
        <f>Графік!N175</f>
        <v/>
      </c>
      <c r="K180" s="33" t="str">
        <f>Графік!I175</f>
        <v/>
      </c>
      <c r="L180" s="33" t="str">
        <f>Графік!J175</f>
        <v/>
      </c>
      <c r="M180" s="34">
        <f>Графік!K175</f>
        <v>0</v>
      </c>
      <c r="N180" s="33" t="str">
        <f>Графік!L175</f>
        <v/>
      </c>
      <c r="O180" s="36" t="str">
        <f>Графік!P175</f>
        <v/>
      </c>
      <c r="P180" s="55" t="str">
        <f>Графік!Q175</f>
        <v/>
      </c>
    </row>
    <row r="181" spans="1:16" hidden="1" x14ac:dyDescent="0.25">
      <c r="A181" s="29" t="str">
        <f>Графік!A176</f>
        <v/>
      </c>
      <c r="B181" s="173" t="e">
        <f ca="1">Графік!C176</f>
        <v>#VALUE!</v>
      </c>
      <c r="C181" s="31" t="str">
        <f>Графік!D176</f>
        <v/>
      </c>
      <c r="D181" s="32" t="str">
        <f>Графік!E176</f>
        <v/>
      </c>
      <c r="E181" s="33" t="str">
        <f>Графік!H176</f>
        <v/>
      </c>
      <c r="F181" s="32" t="str">
        <f>Графік!F176</f>
        <v/>
      </c>
      <c r="G181" s="33" t="str">
        <f>Графік!G176</f>
        <v/>
      </c>
      <c r="H181" s="33" t="str">
        <f>Графік!M176</f>
        <v/>
      </c>
      <c r="I181" s="33"/>
      <c r="J181" s="53" t="str">
        <f>Графік!N176</f>
        <v/>
      </c>
      <c r="K181" s="33" t="str">
        <f>Графік!I176</f>
        <v/>
      </c>
      <c r="L181" s="33" t="str">
        <f>Графік!J176</f>
        <v/>
      </c>
      <c r="M181" s="34">
        <f>Графік!K176</f>
        <v>0</v>
      </c>
      <c r="N181" s="33" t="str">
        <f>Графік!L176</f>
        <v/>
      </c>
      <c r="O181" s="36" t="str">
        <f>Графік!P176</f>
        <v/>
      </c>
      <c r="P181" s="55" t="str">
        <f>Графік!Q176</f>
        <v/>
      </c>
    </row>
    <row r="182" spans="1:16" hidden="1" x14ac:dyDescent="0.25">
      <c r="A182" s="29" t="str">
        <f>Графік!A177</f>
        <v/>
      </c>
      <c r="B182" s="173" t="e">
        <f ca="1">Графік!C177</f>
        <v>#VALUE!</v>
      </c>
      <c r="C182" s="31" t="str">
        <f>Графік!D177</f>
        <v/>
      </c>
      <c r="D182" s="32" t="str">
        <f>Графік!E177</f>
        <v/>
      </c>
      <c r="E182" s="33" t="str">
        <f>Графік!H177</f>
        <v/>
      </c>
      <c r="F182" s="32" t="str">
        <f>Графік!F177</f>
        <v/>
      </c>
      <c r="G182" s="33" t="str">
        <f>Графік!G177</f>
        <v/>
      </c>
      <c r="H182" s="33" t="str">
        <f>Графік!M177</f>
        <v/>
      </c>
      <c r="I182" s="33"/>
      <c r="J182" s="53" t="str">
        <f>Графік!N177</f>
        <v/>
      </c>
      <c r="K182" s="33" t="str">
        <f>Графік!I177</f>
        <v/>
      </c>
      <c r="L182" s="33" t="str">
        <f>Графік!J177</f>
        <v/>
      </c>
      <c r="M182" s="34">
        <f>Графік!K177</f>
        <v>0</v>
      </c>
      <c r="N182" s="33" t="str">
        <f>Графік!L177</f>
        <v/>
      </c>
      <c r="O182" s="36" t="str">
        <f>Графік!P177</f>
        <v/>
      </c>
      <c r="P182" s="55" t="str">
        <f>Графік!Q177</f>
        <v/>
      </c>
    </row>
    <row r="183" spans="1:16" hidden="1" x14ac:dyDescent="0.25">
      <c r="A183" s="29" t="str">
        <f>Графік!A178</f>
        <v/>
      </c>
      <c r="B183" s="173" t="e">
        <f ca="1">Графік!C178</f>
        <v>#VALUE!</v>
      </c>
      <c r="C183" s="31" t="str">
        <f>Графік!D178</f>
        <v/>
      </c>
      <c r="D183" s="32" t="str">
        <f>Графік!E178</f>
        <v/>
      </c>
      <c r="E183" s="33" t="str">
        <f>Графік!H178</f>
        <v/>
      </c>
      <c r="F183" s="32" t="str">
        <f>Графік!F178</f>
        <v/>
      </c>
      <c r="G183" s="33" t="str">
        <f>Графік!G178</f>
        <v/>
      </c>
      <c r="H183" s="33" t="str">
        <f>Графік!M178</f>
        <v/>
      </c>
      <c r="I183" s="33"/>
      <c r="J183" s="53" t="str">
        <f>Графік!N178</f>
        <v/>
      </c>
      <c r="K183" s="33" t="str">
        <f>Графік!I178</f>
        <v/>
      </c>
      <c r="L183" s="33" t="str">
        <f>Графік!J178</f>
        <v/>
      </c>
      <c r="M183" s="34">
        <f>Графік!K178</f>
        <v>0</v>
      </c>
      <c r="N183" s="33" t="str">
        <f>Графік!L178</f>
        <v/>
      </c>
      <c r="O183" s="36" t="str">
        <f>Графік!P178</f>
        <v/>
      </c>
      <c r="P183" s="55" t="str">
        <f>Графік!Q178</f>
        <v/>
      </c>
    </row>
    <row r="184" spans="1:16" hidden="1" x14ac:dyDescent="0.25">
      <c r="A184" s="29" t="str">
        <f>Графік!A179</f>
        <v/>
      </c>
      <c r="B184" s="173" t="e">
        <f ca="1">Графік!C179</f>
        <v>#VALUE!</v>
      </c>
      <c r="C184" s="31" t="str">
        <f>Графік!D179</f>
        <v/>
      </c>
      <c r="D184" s="32" t="str">
        <f>Графік!E179</f>
        <v/>
      </c>
      <c r="E184" s="33" t="str">
        <f>Графік!H179</f>
        <v/>
      </c>
      <c r="F184" s="32" t="str">
        <f>Графік!F179</f>
        <v/>
      </c>
      <c r="G184" s="33" t="str">
        <f>Графік!G179</f>
        <v/>
      </c>
      <c r="H184" s="33" t="str">
        <f>Графік!M179</f>
        <v/>
      </c>
      <c r="I184" s="33"/>
      <c r="J184" s="53" t="str">
        <f>Графік!N179</f>
        <v/>
      </c>
      <c r="K184" s="33" t="str">
        <f>Графік!I179</f>
        <v/>
      </c>
      <c r="L184" s="33" t="str">
        <f>Графік!J179</f>
        <v/>
      </c>
      <c r="M184" s="34">
        <f>Графік!K179</f>
        <v>0</v>
      </c>
      <c r="N184" s="33" t="str">
        <f>Графік!L179</f>
        <v/>
      </c>
      <c r="O184" s="36" t="str">
        <f>Графік!P179</f>
        <v/>
      </c>
      <c r="P184" s="55" t="str">
        <f>Графік!Q179</f>
        <v/>
      </c>
    </row>
    <row r="185" spans="1:16" hidden="1" x14ac:dyDescent="0.25">
      <c r="A185" s="29" t="str">
        <f>Графік!A180</f>
        <v/>
      </c>
      <c r="B185" s="173" t="e">
        <f ca="1">Графік!C180</f>
        <v>#VALUE!</v>
      </c>
      <c r="C185" s="31" t="str">
        <f>Графік!D180</f>
        <v/>
      </c>
      <c r="D185" s="32" t="str">
        <f>Графік!E180</f>
        <v/>
      </c>
      <c r="E185" s="33" t="str">
        <f>Графік!H180</f>
        <v/>
      </c>
      <c r="F185" s="32" t="str">
        <f>Графік!F180</f>
        <v/>
      </c>
      <c r="G185" s="33" t="str">
        <f>Графік!G180</f>
        <v/>
      </c>
      <c r="H185" s="33" t="str">
        <f>Графік!M180</f>
        <v/>
      </c>
      <c r="I185" s="33"/>
      <c r="J185" s="53" t="str">
        <f>Графік!N180</f>
        <v/>
      </c>
      <c r="K185" s="33" t="str">
        <f>Графік!I180</f>
        <v/>
      </c>
      <c r="L185" s="33" t="str">
        <f>Графік!J180</f>
        <v/>
      </c>
      <c r="M185" s="34">
        <f>Графік!K180</f>
        <v>0</v>
      </c>
      <c r="N185" s="33" t="str">
        <f>Графік!L180</f>
        <v/>
      </c>
      <c r="O185" s="36" t="str">
        <f>Графік!P180</f>
        <v/>
      </c>
      <c r="P185" s="55" t="str">
        <f>Графік!Q180</f>
        <v/>
      </c>
    </row>
    <row r="186" spans="1:16" hidden="1" x14ac:dyDescent="0.25">
      <c r="A186" s="29" t="str">
        <f>Графік!A181</f>
        <v/>
      </c>
      <c r="B186" s="173" t="e">
        <f ca="1">Графік!C181</f>
        <v>#VALUE!</v>
      </c>
      <c r="C186" s="31" t="str">
        <f>Графік!D181</f>
        <v/>
      </c>
      <c r="D186" s="32" t="str">
        <f>Графік!E181</f>
        <v/>
      </c>
      <c r="E186" s="33" t="str">
        <f>Графік!H181</f>
        <v/>
      </c>
      <c r="F186" s="32" t="str">
        <f>Графік!F181</f>
        <v/>
      </c>
      <c r="G186" s="33" t="str">
        <f>Графік!G181</f>
        <v/>
      </c>
      <c r="H186" s="33" t="str">
        <f>Графік!M181</f>
        <v/>
      </c>
      <c r="I186" s="33"/>
      <c r="J186" s="53" t="str">
        <f>Графік!N181</f>
        <v/>
      </c>
      <c r="K186" s="33" t="str">
        <f>Графік!I181</f>
        <v/>
      </c>
      <c r="L186" s="33" t="str">
        <f>Графік!J181</f>
        <v/>
      </c>
      <c r="M186" s="33" t="str">
        <f>Графік!K181</f>
        <v/>
      </c>
      <c r="N186" s="33" t="str">
        <f>Графік!L181</f>
        <v/>
      </c>
      <c r="O186" s="36" t="str">
        <f>Графік!P181</f>
        <v/>
      </c>
      <c r="P186" s="55" t="str">
        <f>Графік!Q181</f>
        <v/>
      </c>
    </row>
    <row r="187" spans="1:16" hidden="1" x14ac:dyDescent="0.25">
      <c r="A187" s="29" t="str">
        <f>Графік!A182</f>
        <v/>
      </c>
      <c r="B187" s="173" t="e">
        <f ca="1">Графік!C182</f>
        <v>#VALUE!</v>
      </c>
      <c r="C187" s="31" t="str">
        <f>Графік!D182</f>
        <v/>
      </c>
      <c r="D187" s="32" t="str">
        <f>Графік!E182</f>
        <v/>
      </c>
      <c r="E187" s="33" t="str">
        <f>Графік!H182</f>
        <v/>
      </c>
      <c r="F187" s="32" t="str">
        <f>Графік!F182</f>
        <v/>
      </c>
      <c r="G187" s="33" t="str">
        <f>Графік!G182</f>
        <v/>
      </c>
      <c r="H187" s="33" t="str">
        <f>Графік!M182</f>
        <v/>
      </c>
      <c r="I187" s="33"/>
      <c r="J187" s="53" t="str">
        <f>Графік!N182</f>
        <v/>
      </c>
      <c r="K187" s="33" t="str">
        <f>Графік!I182</f>
        <v/>
      </c>
      <c r="L187" s="33" t="str">
        <f>Графік!J182</f>
        <v/>
      </c>
      <c r="M187" s="34">
        <f>Графік!K182</f>
        <v>0</v>
      </c>
      <c r="N187" s="33" t="str">
        <f>Графік!L182</f>
        <v/>
      </c>
      <c r="O187" s="36" t="str">
        <f>Графік!P182</f>
        <v/>
      </c>
      <c r="P187" s="55" t="str">
        <f>Графік!Q182</f>
        <v/>
      </c>
    </row>
    <row r="188" spans="1:16" hidden="1" x14ac:dyDescent="0.25">
      <c r="A188" s="29" t="str">
        <f>Графік!A183</f>
        <v/>
      </c>
      <c r="B188" s="173" t="e">
        <f ca="1">Графік!C183</f>
        <v>#VALUE!</v>
      </c>
      <c r="C188" s="31" t="str">
        <f>Графік!D183</f>
        <v/>
      </c>
      <c r="D188" s="32" t="str">
        <f>Графік!E183</f>
        <v/>
      </c>
      <c r="E188" s="33" t="str">
        <f>Графік!H183</f>
        <v/>
      </c>
      <c r="F188" s="32" t="str">
        <f>Графік!F183</f>
        <v/>
      </c>
      <c r="G188" s="33" t="str">
        <f>Графік!G183</f>
        <v/>
      </c>
      <c r="H188" s="33" t="str">
        <f>Графік!M183</f>
        <v/>
      </c>
      <c r="I188" s="33"/>
      <c r="J188" s="53" t="str">
        <f>Графік!N183</f>
        <v/>
      </c>
      <c r="K188" s="33" t="str">
        <f>Графік!I183</f>
        <v/>
      </c>
      <c r="L188" s="33" t="str">
        <f>Графік!J183</f>
        <v/>
      </c>
      <c r="M188" s="34">
        <f>Графік!K183</f>
        <v>0</v>
      </c>
      <c r="N188" s="33" t="str">
        <f>Графік!L183</f>
        <v/>
      </c>
      <c r="O188" s="36" t="str">
        <f>Графік!P183</f>
        <v/>
      </c>
      <c r="P188" s="55" t="str">
        <f>Графік!Q183</f>
        <v/>
      </c>
    </row>
    <row r="189" spans="1:16" hidden="1" x14ac:dyDescent="0.25">
      <c r="A189" s="29" t="str">
        <f>Графік!A184</f>
        <v/>
      </c>
      <c r="B189" s="173" t="e">
        <f ca="1">Графік!C184</f>
        <v>#VALUE!</v>
      </c>
      <c r="C189" s="31" t="str">
        <f>Графік!D184</f>
        <v/>
      </c>
      <c r="D189" s="32" t="str">
        <f>Графік!E184</f>
        <v/>
      </c>
      <c r="E189" s="33" t="str">
        <f>Графік!H184</f>
        <v/>
      </c>
      <c r="F189" s="32" t="str">
        <f>Графік!F184</f>
        <v/>
      </c>
      <c r="G189" s="33" t="str">
        <f>Графік!G184</f>
        <v/>
      </c>
      <c r="H189" s="33" t="str">
        <f>Графік!M184</f>
        <v/>
      </c>
      <c r="I189" s="33"/>
      <c r="J189" s="53" t="str">
        <f>Графік!N184</f>
        <v/>
      </c>
      <c r="K189" s="33" t="str">
        <f>Графік!I184</f>
        <v/>
      </c>
      <c r="L189" s="33" t="str">
        <f>Графік!J184</f>
        <v/>
      </c>
      <c r="M189" s="34">
        <f>Графік!K184</f>
        <v>0</v>
      </c>
      <c r="N189" s="33" t="str">
        <f>Графік!L184</f>
        <v/>
      </c>
      <c r="O189" s="36" t="str">
        <f>Графік!P184</f>
        <v/>
      </c>
      <c r="P189" s="55" t="str">
        <f>Графік!Q184</f>
        <v/>
      </c>
    </row>
    <row r="190" spans="1:16" hidden="1" x14ac:dyDescent="0.25">
      <c r="A190" s="29" t="str">
        <f>Графік!A185</f>
        <v/>
      </c>
      <c r="B190" s="173" t="e">
        <f ca="1">Графік!C185</f>
        <v>#VALUE!</v>
      </c>
      <c r="C190" s="31" t="str">
        <f>Графік!D185</f>
        <v/>
      </c>
      <c r="D190" s="32" t="str">
        <f>Графік!E185</f>
        <v/>
      </c>
      <c r="E190" s="33" t="str">
        <f>Графік!H185</f>
        <v/>
      </c>
      <c r="F190" s="32" t="str">
        <f>Графік!F185</f>
        <v/>
      </c>
      <c r="G190" s="33" t="str">
        <f>Графік!G185</f>
        <v/>
      </c>
      <c r="H190" s="33" t="str">
        <f>Графік!M185</f>
        <v/>
      </c>
      <c r="I190" s="33"/>
      <c r="J190" s="53" t="str">
        <f>Графік!N185</f>
        <v/>
      </c>
      <c r="K190" s="33" t="str">
        <f>Графік!I185</f>
        <v/>
      </c>
      <c r="L190" s="33" t="str">
        <f>Графік!J185</f>
        <v/>
      </c>
      <c r="M190" s="34">
        <f>Графік!K185</f>
        <v>0</v>
      </c>
      <c r="N190" s="33" t="str">
        <f>Графік!L185</f>
        <v/>
      </c>
      <c r="O190" s="36" t="str">
        <f>Графік!P185</f>
        <v/>
      </c>
      <c r="P190" s="55" t="str">
        <f>Графік!Q185</f>
        <v/>
      </c>
    </row>
    <row r="191" spans="1:16" hidden="1" x14ac:dyDescent="0.25">
      <c r="A191" s="29" t="str">
        <f>Графік!A186</f>
        <v/>
      </c>
      <c r="B191" s="173" t="e">
        <f ca="1">Графік!C186</f>
        <v>#VALUE!</v>
      </c>
      <c r="C191" s="31" t="str">
        <f>Графік!D186</f>
        <v/>
      </c>
      <c r="D191" s="32" t="str">
        <f>Графік!E186</f>
        <v/>
      </c>
      <c r="E191" s="33" t="str">
        <f>Графік!H186</f>
        <v/>
      </c>
      <c r="F191" s="32" t="str">
        <f>Графік!F186</f>
        <v/>
      </c>
      <c r="G191" s="33" t="str">
        <f>Графік!G186</f>
        <v/>
      </c>
      <c r="H191" s="33" t="str">
        <f>Графік!M186</f>
        <v/>
      </c>
      <c r="I191" s="33"/>
      <c r="J191" s="53" t="str">
        <f>Графік!N186</f>
        <v/>
      </c>
      <c r="K191" s="33" t="str">
        <f>Графік!I186</f>
        <v/>
      </c>
      <c r="L191" s="33" t="str">
        <f>Графік!J186</f>
        <v/>
      </c>
      <c r="M191" s="34">
        <f>Графік!K186</f>
        <v>0</v>
      </c>
      <c r="N191" s="33" t="str">
        <f>Графік!L186</f>
        <v/>
      </c>
      <c r="O191" s="36" t="str">
        <f>Графік!P186</f>
        <v/>
      </c>
      <c r="P191" s="55" t="str">
        <f>Графік!Q186</f>
        <v/>
      </c>
    </row>
    <row r="192" spans="1:16" hidden="1" x14ac:dyDescent="0.25">
      <c r="A192" s="29" t="str">
        <f>Графік!A187</f>
        <v/>
      </c>
      <c r="B192" s="173" t="e">
        <f ca="1">Графік!C187</f>
        <v>#VALUE!</v>
      </c>
      <c r="C192" s="31" t="str">
        <f>Графік!D187</f>
        <v/>
      </c>
      <c r="D192" s="32" t="str">
        <f>Графік!E187</f>
        <v/>
      </c>
      <c r="E192" s="33" t="str">
        <f>Графік!H187</f>
        <v/>
      </c>
      <c r="F192" s="32" t="str">
        <f>Графік!F187</f>
        <v/>
      </c>
      <c r="G192" s="33" t="str">
        <f>Графік!G187</f>
        <v/>
      </c>
      <c r="H192" s="33" t="str">
        <f>Графік!M187</f>
        <v/>
      </c>
      <c r="I192" s="33"/>
      <c r="J192" s="53" t="str">
        <f>Графік!N187</f>
        <v/>
      </c>
      <c r="K192" s="33" t="str">
        <f>Графік!I187</f>
        <v/>
      </c>
      <c r="L192" s="33" t="str">
        <f>Графік!J187</f>
        <v/>
      </c>
      <c r="M192" s="34">
        <f>Графік!K187</f>
        <v>0</v>
      </c>
      <c r="N192" s="33" t="str">
        <f>Графік!L187</f>
        <v/>
      </c>
      <c r="O192" s="36" t="str">
        <f>Графік!P187</f>
        <v/>
      </c>
      <c r="P192" s="55" t="str">
        <f>Графік!Q187</f>
        <v/>
      </c>
    </row>
    <row r="193" spans="1:16" hidden="1" x14ac:dyDescent="0.25">
      <c r="A193" s="29" t="str">
        <f>Графік!A188</f>
        <v/>
      </c>
      <c r="B193" s="173" t="e">
        <f ca="1">Графік!C188</f>
        <v>#VALUE!</v>
      </c>
      <c r="C193" s="31" t="str">
        <f>Графік!D188</f>
        <v/>
      </c>
      <c r="D193" s="32" t="str">
        <f>Графік!E188</f>
        <v/>
      </c>
      <c r="E193" s="33" t="str">
        <f>Графік!H188</f>
        <v/>
      </c>
      <c r="F193" s="32" t="str">
        <f>Графік!F188</f>
        <v/>
      </c>
      <c r="G193" s="33" t="str">
        <f>Графік!G188</f>
        <v/>
      </c>
      <c r="H193" s="33" t="str">
        <f>Графік!M188</f>
        <v/>
      </c>
      <c r="I193" s="33"/>
      <c r="J193" s="53" t="str">
        <f>Графік!N188</f>
        <v/>
      </c>
      <c r="K193" s="33" t="str">
        <f>Графік!I188</f>
        <v/>
      </c>
      <c r="L193" s="33" t="str">
        <f>Графік!J188</f>
        <v/>
      </c>
      <c r="M193" s="34">
        <f>Графік!K188</f>
        <v>0</v>
      </c>
      <c r="N193" s="33" t="str">
        <f>Графік!L188</f>
        <v/>
      </c>
      <c r="O193" s="36" t="str">
        <f>Графік!P188</f>
        <v/>
      </c>
      <c r="P193" s="55" t="str">
        <f>Графік!Q188</f>
        <v/>
      </c>
    </row>
    <row r="194" spans="1:16" hidden="1" x14ac:dyDescent="0.25">
      <c r="A194" s="29" t="str">
        <f>Графік!A189</f>
        <v/>
      </c>
      <c r="B194" s="173" t="e">
        <f ca="1">Графік!C189</f>
        <v>#VALUE!</v>
      </c>
      <c r="C194" s="31" t="str">
        <f>Графік!D189</f>
        <v/>
      </c>
      <c r="D194" s="32" t="str">
        <f>Графік!E189</f>
        <v/>
      </c>
      <c r="E194" s="33" t="str">
        <f>Графік!H189</f>
        <v/>
      </c>
      <c r="F194" s="32" t="str">
        <f>Графік!F189</f>
        <v/>
      </c>
      <c r="G194" s="33" t="str">
        <f>Графік!G189</f>
        <v/>
      </c>
      <c r="H194" s="33" t="str">
        <f>Графік!M189</f>
        <v/>
      </c>
      <c r="I194" s="33"/>
      <c r="J194" s="53" t="str">
        <f>Графік!N189</f>
        <v/>
      </c>
      <c r="K194" s="33" t="str">
        <f>Графік!I189</f>
        <v/>
      </c>
      <c r="L194" s="33" t="str">
        <f>Графік!J189</f>
        <v/>
      </c>
      <c r="M194" s="34">
        <f>Графік!K189</f>
        <v>0</v>
      </c>
      <c r="N194" s="33" t="str">
        <f>Графік!L189</f>
        <v/>
      </c>
      <c r="O194" s="36" t="str">
        <f>Графік!P189</f>
        <v/>
      </c>
      <c r="P194" s="55" t="str">
        <f>Графік!Q189</f>
        <v/>
      </c>
    </row>
    <row r="195" spans="1:16" hidden="1" x14ac:dyDescent="0.25">
      <c r="A195" s="29" t="str">
        <f>Графік!A190</f>
        <v/>
      </c>
      <c r="B195" s="173" t="e">
        <f ca="1">Графік!C190</f>
        <v>#VALUE!</v>
      </c>
      <c r="C195" s="31" t="str">
        <f>Графік!D190</f>
        <v/>
      </c>
      <c r="D195" s="32" t="str">
        <f>Графік!E190</f>
        <v/>
      </c>
      <c r="E195" s="33" t="str">
        <f>Графік!H190</f>
        <v/>
      </c>
      <c r="F195" s="32" t="str">
        <f>Графік!F190</f>
        <v/>
      </c>
      <c r="G195" s="33" t="str">
        <f>Графік!G190</f>
        <v/>
      </c>
      <c r="H195" s="33" t="str">
        <f>Графік!M190</f>
        <v/>
      </c>
      <c r="I195" s="33"/>
      <c r="J195" s="53" t="str">
        <f>Графік!N190</f>
        <v/>
      </c>
      <c r="K195" s="33" t="str">
        <f>Графік!I190</f>
        <v/>
      </c>
      <c r="L195" s="33" t="str">
        <f>Графік!J190</f>
        <v/>
      </c>
      <c r="M195" s="34">
        <f>Графік!K190</f>
        <v>0</v>
      </c>
      <c r="N195" s="33" t="str">
        <f>Графік!L190</f>
        <v/>
      </c>
      <c r="O195" s="36" t="str">
        <f>Графік!P190</f>
        <v/>
      </c>
      <c r="P195" s="55" t="str">
        <f>Графік!Q190</f>
        <v/>
      </c>
    </row>
    <row r="196" spans="1:16" hidden="1" x14ac:dyDescent="0.25">
      <c r="A196" s="29" t="str">
        <f>Графік!A191</f>
        <v/>
      </c>
      <c r="B196" s="173" t="e">
        <f ca="1">Графік!C191</f>
        <v>#VALUE!</v>
      </c>
      <c r="C196" s="31" t="str">
        <f>Графік!D191</f>
        <v/>
      </c>
      <c r="D196" s="32" t="str">
        <f>Графік!E191</f>
        <v/>
      </c>
      <c r="E196" s="33" t="str">
        <f>Графік!H191</f>
        <v/>
      </c>
      <c r="F196" s="32" t="str">
        <f>Графік!F191</f>
        <v/>
      </c>
      <c r="G196" s="33" t="str">
        <f>Графік!G191</f>
        <v/>
      </c>
      <c r="H196" s="33" t="str">
        <f>Графік!M191</f>
        <v/>
      </c>
      <c r="I196" s="33"/>
      <c r="J196" s="53" t="str">
        <f>Графік!N191</f>
        <v/>
      </c>
      <c r="K196" s="33" t="str">
        <f>Графік!I191</f>
        <v/>
      </c>
      <c r="L196" s="33" t="str">
        <f>Графік!J191</f>
        <v/>
      </c>
      <c r="M196" s="34">
        <f>Графік!K191</f>
        <v>0</v>
      </c>
      <c r="N196" s="33" t="str">
        <f>Графік!L191</f>
        <v/>
      </c>
      <c r="O196" s="36" t="str">
        <f>Графік!P191</f>
        <v/>
      </c>
      <c r="P196" s="55" t="str">
        <f>Графік!Q191</f>
        <v/>
      </c>
    </row>
    <row r="197" spans="1:16" hidden="1" x14ac:dyDescent="0.25">
      <c r="A197" s="29" t="str">
        <f>Графік!A192</f>
        <v/>
      </c>
      <c r="B197" s="173" t="e">
        <f ca="1">Графік!C192</f>
        <v>#VALUE!</v>
      </c>
      <c r="C197" s="31" t="str">
        <f>Графік!D192</f>
        <v/>
      </c>
      <c r="D197" s="32" t="str">
        <f>Графік!E192</f>
        <v/>
      </c>
      <c r="E197" s="33" t="str">
        <f>Графік!H192</f>
        <v/>
      </c>
      <c r="F197" s="32" t="str">
        <f>Графік!F192</f>
        <v/>
      </c>
      <c r="G197" s="33" t="str">
        <f>Графік!G192</f>
        <v/>
      </c>
      <c r="H197" s="33" t="str">
        <f>Графік!M192</f>
        <v/>
      </c>
      <c r="I197" s="33"/>
      <c r="J197" s="53" t="str">
        <f>Графік!N192</f>
        <v/>
      </c>
      <c r="K197" s="33" t="str">
        <f>Графік!I192</f>
        <v/>
      </c>
      <c r="L197" s="33" t="str">
        <f>Графік!J192</f>
        <v/>
      </c>
      <c r="M197" s="34">
        <f>Графік!K192</f>
        <v>0</v>
      </c>
      <c r="N197" s="33" t="str">
        <f>Графік!L192</f>
        <v/>
      </c>
      <c r="O197" s="36" t="str">
        <f>Графік!P192</f>
        <v/>
      </c>
      <c r="P197" s="55" t="str">
        <f>Графік!Q192</f>
        <v/>
      </c>
    </row>
    <row r="198" spans="1:16" hidden="1" x14ac:dyDescent="0.25">
      <c r="A198" s="29" t="str">
        <f>Графік!A193</f>
        <v/>
      </c>
      <c r="B198" s="173" t="e">
        <f ca="1">Графік!C193</f>
        <v>#VALUE!</v>
      </c>
      <c r="C198" s="31" t="str">
        <f>Графік!D193</f>
        <v/>
      </c>
      <c r="D198" s="32" t="str">
        <f>Графік!E193</f>
        <v/>
      </c>
      <c r="E198" s="33" t="str">
        <f>Графік!H193</f>
        <v/>
      </c>
      <c r="F198" s="32" t="str">
        <f>Графік!F193</f>
        <v/>
      </c>
      <c r="G198" s="33" t="str">
        <f>Графік!G193</f>
        <v/>
      </c>
      <c r="H198" s="33" t="str">
        <f>Графік!M193</f>
        <v/>
      </c>
      <c r="I198" s="33"/>
      <c r="J198" s="53" t="str">
        <f>Графік!N193</f>
        <v/>
      </c>
      <c r="K198" s="33" t="str">
        <f>Графік!I193</f>
        <v/>
      </c>
      <c r="L198" s="33" t="str">
        <f>Графік!J193</f>
        <v/>
      </c>
      <c r="M198" s="33" t="str">
        <f>Графік!K193</f>
        <v/>
      </c>
      <c r="N198" s="33" t="str">
        <f>Графік!L193</f>
        <v/>
      </c>
      <c r="O198" s="36" t="str">
        <f>Графік!P193</f>
        <v/>
      </c>
      <c r="P198" s="55" t="str">
        <f>Графік!Q193</f>
        <v/>
      </c>
    </row>
    <row r="199" spans="1:16" hidden="1" x14ac:dyDescent="0.25">
      <c r="A199" s="29" t="str">
        <f>Графік!A194</f>
        <v/>
      </c>
      <c r="B199" s="173" t="e">
        <f ca="1">Графік!C194</f>
        <v>#VALUE!</v>
      </c>
      <c r="C199" s="31" t="str">
        <f>Графік!D194</f>
        <v/>
      </c>
      <c r="D199" s="32" t="str">
        <f>Графік!E194</f>
        <v/>
      </c>
      <c r="E199" s="33" t="str">
        <f>Графік!H194</f>
        <v/>
      </c>
      <c r="F199" s="32" t="str">
        <f>Графік!F194</f>
        <v/>
      </c>
      <c r="G199" s="33" t="str">
        <f>Графік!G194</f>
        <v/>
      </c>
      <c r="H199" s="33" t="str">
        <f>Графік!M194</f>
        <v/>
      </c>
      <c r="I199" s="33"/>
      <c r="J199" s="53" t="str">
        <f>Графік!N194</f>
        <v/>
      </c>
      <c r="K199" s="33" t="str">
        <f>Графік!I194</f>
        <v/>
      </c>
      <c r="L199" s="33" t="str">
        <f>Графік!J194</f>
        <v/>
      </c>
      <c r="M199" s="34">
        <f>Графік!K194</f>
        <v>0</v>
      </c>
      <c r="N199" s="33" t="str">
        <f>Графік!L194</f>
        <v/>
      </c>
      <c r="O199" s="36" t="str">
        <f>Графік!P194</f>
        <v/>
      </c>
      <c r="P199" s="55" t="str">
        <f>Графік!Q194</f>
        <v/>
      </c>
    </row>
    <row r="200" spans="1:16" hidden="1" x14ac:dyDescent="0.25">
      <c r="A200" s="29" t="str">
        <f>Графік!A195</f>
        <v/>
      </c>
      <c r="B200" s="173" t="e">
        <f ca="1">Графік!C195</f>
        <v>#VALUE!</v>
      </c>
      <c r="C200" s="31" t="str">
        <f>Графік!D195</f>
        <v/>
      </c>
      <c r="D200" s="32" t="str">
        <f>Графік!E195</f>
        <v/>
      </c>
      <c r="E200" s="33" t="str">
        <f>Графік!H195</f>
        <v/>
      </c>
      <c r="F200" s="32" t="str">
        <f>Графік!F195</f>
        <v/>
      </c>
      <c r="G200" s="33" t="str">
        <f>Графік!G195</f>
        <v/>
      </c>
      <c r="H200" s="33" t="str">
        <f>Графік!M195</f>
        <v/>
      </c>
      <c r="I200" s="33"/>
      <c r="J200" s="53" t="str">
        <f>Графік!N195</f>
        <v/>
      </c>
      <c r="K200" s="33" t="str">
        <f>Графік!I195</f>
        <v/>
      </c>
      <c r="L200" s="33" t="str">
        <f>Графік!J195</f>
        <v/>
      </c>
      <c r="M200" s="34">
        <f>Графік!K195</f>
        <v>0</v>
      </c>
      <c r="N200" s="33" t="str">
        <f>Графік!L195</f>
        <v/>
      </c>
      <c r="O200" s="36" t="str">
        <f>Графік!P195</f>
        <v/>
      </c>
      <c r="P200" s="55" t="str">
        <f>Графік!Q195</f>
        <v/>
      </c>
    </row>
    <row r="201" spans="1:16" hidden="1" x14ac:dyDescent="0.25">
      <c r="A201" s="29" t="str">
        <f>Графік!A196</f>
        <v/>
      </c>
      <c r="B201" s="173" t="e">
        <f ca="1">Графік!C196</f>
        <v>#VALUE!</v>
      </c>
      <c r="C201" s="31" t="str">
        <f>Графік!D196</f>
        <v/>
      </c>
      <c r="D201" s="32" t="str">
        <f>Графік!E196</f>
        <v/>
      </c>
      <c r="E201" s="33" t="str">
        <f>Графік!H196</f>
        <v/>
      </c>
      <c r="F201" s="32" t="str">
        <f>Графік!F196</f>
        <v/>
      </c>
      <c r="G201" s="33" t="str">
        <f>Графік!G196</f>
        <v/>
      </c>
      <c r="H201" s="33" t="str">
        <f>Графік!M196</f>
        <v/>
      </c>
      <c r="I201" s="33"/>
      <c r="J201" s="53" t="str">
        <f>Графік!N196</f>
        <v/>
      </c>
      <c r="K201" s="33" t="str">
        <f>Графік!I196</f>
        <v/>
      </c>
      <c r="L201" s="33" t="str">
        <f>Графік!J196</f>
        <v/>
      </c>
      <c r="M201" s="34">
        <f>Графік!K196</f>
        <v>0</v>
      </c>
      <c r="N201" s="33" t="str">
        <f>Графік!L196</f>
        <v/>
      </c>
      <c r="O201" s="36" t="str">
        <f>Графік!P196</f>
        <v/>
      </c>
      <c r="P201" s="55" t="str">
        <f>Графік!Q196</f>
        <v/>
      </c>
    </row>
    <row r="202" spans="1:16" hidden="1" x14ac:dyDescent="0.25">
      <c r="A202" s="29" t="str">
        <f>Графік!A197</f>
        <v/>
      </c>
      <c r="B202" s="173" t="e">
        <f ca="1">Графік!C197</f>
        <v>#VALUE!</v>
      </c>
      <c r="C202" s="31" t="str">
        <f>Графік!D197</f>
        <v/>
      </c>
      <c r="D202" s="32" t="str">
        <f>Графік!E197</f>
        <v/>
      </c>
      <c r="E202" s="33" t="str">
        <f>Графік!H197</f>
        <v/>
      </c>
      <c r="F202" s="32" t="str">
        <f>Графік!F197</f>
        <v/>
      </c>
      <c r="G202" s="33" t="str">
        <f>Графік!G197</f>
        <v/>
      </c>
      <c r="H202" s="33" t="str">
        <f>Графік!M197</f>
        <v/>
      </c>
      <c r="I202" s="33"/>
      <c r="J202" s="53" t="str">
        <f>Графік!N197</f>
        <v/>
      </c>
      <c r="K202" s="33" t="str">
        <f>Графік!I197</f>
        <v/>
      </c>
      <c r="L202" s="33" t="str">
        <f>Графік!J197</f>
        <v/>
      </c>
      <c r="M202" s="34">
        <f>Графік!K197</f>
        <v>0</v>
      </c>
      <c r="N202" s="33" t="str">
        <f>Графік!L197</f>
        <v/>
      </c>
      <c r="O202" s="36" t="str">
        <f>Графік!P197</f>
        <v/>
      </c>
      <c r="P202" s="55" t="str">
        <f>Графік!Q197</f>
        <v/>
      </c>
    </row>
    <row r="203" spans="1:16" hidden="1" x14ac:dyDescent="0.25">
      <c r="A203" s="29" t="str">
        <f>Графік!A198</f>
        <v/>
      </c>
      <c r="B203" s="173" t="e">
        <f ca="1">Графік!C198</f>
        <v>#VALUE!</v>
      </c>
      <c r="C203" s="31" t="str">
        <f>Графік!D198</f>
        <v/>
      </c>
      <c r="D203" s="32" t="str">
        <f>Графік!E198</f>
        <v/>
      </c>
      <c r="E203" s="33" t="str">
        <f>Графік!H198</f>
        <v/>
      </c>
      <c r="F203" s="32" t="str">
        <f>Графік!F198</f>
        <v/>
      </c>
      <c r="G203" s="33" t="str">
        <f>Графік!G198</f>
        <v/>
      </c>
      <c r="H203" s="33" t="str">
        <f>Графік!M198</f>
        <v/>
      </c>
      <c r="I203" s="33"/>
      <c r="J203" s="53" t="str">
        <f>Графік!N198</f>
        <v/>
      </c>
      <c r="K203" s="33" t="str">
        <f>Графік!I198</f>
        <v/>
      </c>
      <c r="L203" s="33" t="str">
        <f>Графік!J198</f>
        <v/>
      </c>
      <c r="M203" s="34">
        <f>Графік!K198</f>
        <v>0</v>
      </c>
      <c r="N203" s="33" t="str">
        <f>Графік!L198</f>
        <v/>
      </c>
      <c r="O203" s="36" t="str">
        <f>Графік!P198</f>
        <v/>
      </c>
      <c r="P203" s="55" t="str">
        <f>Графік!Q198</f>
        <v/>
      </c>
    </row>
    <row r="204" spans="1:16" hidden="1" x14ac:dyDescent="0.25">
      <c r="A204" s="29" t="str">
        <f>Графік!A199</f>
        <v/>
      </c>
      <c r="B204" s="173" t="e">
        <f ca="1">Графік!C199</f>
        <v>#VALUE!</v>
      </c>
      <c r="C204" s="31" t="str">
        <f>Графік!D199</f>
        <v/>
      </c>
      <c r="D204" s="32" t="str">
        <f>Графік!E199</f>
        <v/>
      </c>
      <c r="E204" s="33" t="str">
        <f>Графік!H199</f>
        <v/>
      </c>
      <c r="F204" s="32" t="str">
        <f>Графік!F199</f>
        <v/>
      </c>
      <c r="G204" s="33" t="str">
        <f>Графік!G199</f>
        <v/>
      </c>
      <c r="H204" s="33" t="str">
        <f>Графік!M199</f>
        <v/>
      </c>
      <c r="I204" s="33"/>
      <c r="J204" s="53" t="str">
        <f>Графік!N199</f>
        <v/>
      </c>
      <c r="K204" s="33" t="str">
        <f>Графік!I199</f>
        <v/>
      </c>
      <c r="L204" s="33" t="str">
        <f>Графік!J199</f>
        <v/>
      </c>
      <c r="M204" s="34">
        <f>Графік!K199</f>
        <v>0</v>
      </c>
      <c r="N204" s="33" t="str">
        <f>Графік!L199</f>
        <v/>
      </c>
      <c r="O204" s="36" t="str">
        <f>Графік!P199</f>
        <v/>
      </c>
      <c r="P204" s="55" t="str">
        <f>Графік!Q199</f>
        <v/>
      </c>
    </row>
    <row r="205" spans="1:16" hidden="1" x14ac:dyDescent="0.25">
      <c r="A205" s="29" t="str">
        <f>Графік!A200</f>
        <v/>
      </c>
      <c r="B205" s="173" t="e">
        <f ca="1">Графік!C200</f>
        <v>#VALUE!</v>
      </c>
      <c r="C205" s="31" t="str">
        <f>Графік!D200</f>
        <v/>
      </c>
      <c r="D205" s="32" t="str">
        <f>Графік!E200</f>
        <v/>
      </c>
      <c r="E205" s="33" t="str">
        <f>Графік!H200</f>
        <v/>
      </c>
      <c r="F205" s="32" t="str">
        <f>Графік!F200</f>
        <v/>
      </c>
      <c r="G205" s="33" t="str">
        <f>Графік!G200</f>
        <v/>
      </c>
      <c r="H205" s="33" t="str">
        <f>Графік!M200</f>
        <v/>
      </c>
      <c r="I205" s="33"/>
      <c r="J205" s="53" t="str">
        <f>Графік!N200</f>
        <v/>
      </c>
      <c r="K205" s="33" t="str">
        <f>Графік!I200</f>
        <v/>
      </c>
      <c r="L205" s="33" t="str">
        <f>Графік!J200</f>
        <v/>
      </c>
      <c r="M205" s="34">
        <f>Графік!K200</f>
        <v>0</v>
      </c>
      <c r="N205" s="33" t="str">
        <f>Графік!L200</f>
        <v/>
      </c>
      <c r="O205" s="36" t="str">
        <f>Графік!P200</f>
        <v/>
      </c>
      <c r="P205" s="55" t="str">
        <f>Графік!Q200</f>
        <v/>
      </c>
    </row>
    <row r="206" spans="1:16" hidden="1" x14ac:dyDescent="0.25">
      <c r="A206" s="29" t="str">
        <f>Графік!A201</f>
        <v/>
      </c>
      <c r="B206" s="173" t="e">
        <f ca="1">Графік!C201</f>
        <v>#VALUE!</v>
      </c>
      <c r="C206" s="31" t="str">
        <f>Графік!D201</f>
        <v/>
      </c>
      <c r="D206" s="32" t="str">
        <f>Графік!E201</f>
        <v/>
      </c>
      <c r="E206" s="33" t="str">
        <f>Графік!H201</f>
        <v/>
      </c>
      <c r="F206" s="32" t="str">
        <f>Графік!F201</f>
        <v/>
      </c>
      <c r="G206" s="33" t="str">
        <f>Графік!G201</f>
        <v/>
      </c>
      <c r="H206" s="33" t="str">
        <f>Графік!M201</f>
        <v/>
      </c>
      <c r="I206" s="33"/>
      <c r="J206" s="53" t="str">
        <f>Графік!N201</f>
        <v/>
      </c>
      <c r="K206" s="33" t="str">
        <f>Графік!I201</f>
        <v/>
      </c>
      <c r="L206" s="33" t="str">
        <f>Графік!J201</f>
        <v/>
      </c>
      <c r="M206" s="34">
        <f>Графік!K201</f>
        <v>0</v>
      </c>
      <c r="N206" s="33" t="str">
        <f>Графік!L201</f>
        <v/>
      </c>
      <c r="O206" s="36" t="str">
        <f>Графік!P201</f>
        <v/>
      </c>
      <c r="P206" s="55" t="str">
        <f>Графік!Q201</f>
        <v/>
      </c>
    </row>
    <row r="207" spans="1:16" hidden="1" x14ac:dyDescent="0.25">
      <c r="A207" s="29" t="str">
        <f>Графік!A202</f>
        <v/>
      </c>
      <c r="B207" s="173" t="e">
        <f ca="1">Графік!C202</f>
        <v>#VALUE!</v>
      </c>
      <c r="C207" s="31" t="str">
        <f>Графік!D202</f>
        <v/>
      </c>
      <c r="D207" s="32" t="str">
        <f>Графік!E202</f>
        <v/>
      </c>
      <c r="E207" s="33" t="str">
        <f>Графік!H202</f>
        <v/>
      </c>
      <c r="F207" s="32" t="str">
        <f>Графік!F202</f>
        <v/>
      </c>
      <c r="G207" s="33" t="str">
        <f>Графік!G202</f>
        <v/>
      </c>
      <c r="H207" s="33" t="str">
        <f>Графік!M202</f>
        <v/>
      </c>
      <c r="I207" s="33"/>
      <c r="J207" s="53" t="str">
        <f>Графік!N202</f>
        <v/>
      </c>
      <c r="K207" s="33" t="str">
        <f>Графік!I202</f>
        <v/>
      </c>
      <c r="L207" s="33" t="str">
        <f>Графік!J202</f>
        <v/>
      </c>
      <c r="M207" s="34">
        <f>Графік!K202</f>
        <v>0</v>
      </c>
      <c r="N207" s="33" t="str">
        <f>Графік!L202</f>
        <v/>
      </c>
      <c r="O207" s="36" t="str">
        <f>Графік!P202</f>
        <v/>
      </c>
      <c r="P207" s="55" t="str">
        <f>Графік!Q202</f>
        <v/>
      </c>
    </row>
    <row r="208" spans="1:16" hidden="1" x14ac:dyDescent="0.25">
      <c r="A208" s="29" t="str">
        <f>Графік!A203</f>
        <v/>
      </c>
      <c r="B208" s="173" t="e">
        <f ca="1">Графік!C203</f>
        <v>#VALUE!</v>
      </c>
      <c r="C208" s="31" t="str">
        <f>Графік!D203</f>
        <v/>
      </c>
      <c r="D208" s="32" t="str">
        <f>Графік!E203</f>
        <v/>
      </c>
      <c r="E208" s="33" t="str">
        <f>Графік!H203</f>
        <v/>
      </c>
      <c r="F208" s="32" t="str">
        <f>Графік!F203</f>
        <v/>
      </c>
      <c r="G208" s="33" t="str">
        <f>Графік!G203</f>
        <v/>
      </c>
      <c r="H208" s="33" t="str">
        <f>Графік!M203</f>
        <v/>
      </c>
      <c r="I208" s="33"/>
      <c r="J208" s="53" t="str">
        <f>Графік!N203</f>
        <v/>
      </c>
      <c r="K208" s="33" t="str">
        <f>Графік!I203</f>
        <v/>
      </c>
      <c r="L208" s="33" t="str">
        <f>Графік!J203</f>
        <v/>
      </c>
      <c r="M208" s="34">
        <f>Графік!K203</f>
        <v>0</v>
      </c>
      <c r="N208" s="33" t="str">
        <f>Графік!L203</f>
        <v/>
      </c>
      <c r="O208" s="36" t="str">
        <f>Графік!P203</f>
        <v/>
      </c>
      <c r="P208" s="55" t="str">
        <f>Графік!Q203</f>
        <v/>
      </c>
    </row>
    <row r="209" spans="1:16" hidden="1" x14ac:dyDescent="0.25">
      <c r="A209" s="29" t="str">
        <f>Графік!A204</f>
        <v/>
      </c>
      <c r="B209" s="173" t="e">
        <f ca="1">Графік!C204</f>
        <v>#VALUE!</v>
      </c>
      <c r="C209" s="31" t="str">
        <f>Графік!D204</f>
        <v/>
      </c>
      <c r="D209" s="32" t="str">
        <f>Графік!E204</f>
        <v/>
      </c>
      <c r="E209" s="33" t="str">
        <f>Графік!H204</f>
        <v/>
      </c>
      <c r="F209" s="32" t="str">
        <f>Графік!F204</f>
        <v/>
      </c>
      <c r="G209" s="33" t="str">
        <f>Графік!G204</f>
        <v/>
      </c>
      <c r="H209" s="33" t="str">
        <f>Графік!M204</f>
        <v/>
      </c>
      <c r="I209" s="33"/>
      <c r="J209" s="53" t="str">
        <f>Графік!N204</f>
        <v/>
      </c>
      <c r="K209" s="33" t="str">
        <f>Графік!I204</f>
        <v/>
      </c>
      <c r="L209" s="33" t="str">
        <f>Графік!J204</f>
        <v/>
      </c>
      <c r="M209" s="34">
        <f>Графік!K204</f>
        <v>0</v>
      </c>
      <c r="N209" s="33" t="str">
        <f>Графік!L204</f>
        <v/>
      </c>
      <c r="O209" s="36" t="str">
        <f>Графік!P204</f>
        <v/>
      </c>
      <c r="P209" s="55" t="str">
        <f>Графік!Q204</f>
        <v/>
      </c>
    </row>
    <row r="210" spans="1:16" hidden="1" x14ac:dyDescent="0.25">
      <c r="A210" s="29" t="str">
        <f>Графік!A205</f>
        <v/>
      </c>
      <c r="B210" s="173" t="e">
        <f ca="1">Графік!C205</f>
        <v>#VALUE!</v>
      </c>
      <c r="C210" s="31" t="str">
        <f>Графік!D205</f>
        <v/>
      </c>
      <c r="D210" s="32" t="str">
        <f>Графік!E205</f>
        <v/>
      </c>
      <c r="E210" s="33" t="str">
        <f>Графік!H205</f>
        <v/>
      </c>
      <c r="F210" s="32" t="str">
        <f>Графік!F205</f>
        <v/>
      </c>
      <c r="G210" s="33" t="str">
        <f>Графік!G205</f>
        <v/>
      </c>
      <c r="H210" s="33" t="str">
        <f>Графік!M205</f>
        <v/>
      </c>
      <c r="I210" s="33"/>
      <c r="J210" s="53" t="str">
        <f>Графік!N205</f>
        <v/>
      </c>
      <c r="K210" s="33" t="str">
        <f>Графік!I205</f>
        <v/>
      </c>
      <c r="L210" s="33" t="str">
        <f>Графік!J205</f>
        <v/>
      </c>
      <c r="M210" s="33" t="str">
        <f>Графік!K205</f>
        <v/>
      </c>
      <c r="N210" s="33" t="str">
        <f>Графік!L205</f>
        <v/>
      </c>
      <c r="O210" s="36" t="str">
        <f>Графік!P205</f>
        <v/>
      </c>
      <c r="P210" s="55" t="str">
        <f>Графік!Q205</f>
        <v/>
      </c>
    </row>
    <row r="211" spans="1:16" hidden="1" x14ac:dyDescent="0.25">
      <c r="A211" s="29" t="str">
        <f>Графік!A206</f>
        <v/>
      </c>
      <c r="B211" s="173" t="e">
        <f ca="1">Графік!C206</f>
        <v>#VALUE!</v>
      </c>
      <c r="C211" s="31" t="str">
        <f>Графік!D206</f>
        <v/>
      </c>
      <c r="D211" s="32" t="str">
        <f>Графік!E206</f>
        <v/>
      </c>
      <c r="E211" s="33" t="str">
        <f>Графік!H206</f>
        <v/>
      </c>
      <c r="F211" s="32" t="str">
        <f>Графік!F206</f>
        <v/>
      </c>
      <c r="G211" s="33" t="str">
        <f>Графік!G206</f>
        <v/>
      </c>
      <c r="H211" s="33" t="str">
        <f>Графік!M206</f>
        <v/>
      </c>
      <c r="I211" s="33"/>
      <c r="J211" s="53" t="str">
        <f>Графік!N206</f>
        <v/>
      </c>
      <c r="K211" s="33" t="str">
        <f>Графік!I206</f>
        <v/>
      </c>
      <c r="L211" s="33" t="str">
        <f>Графік!J206</f>
        <v/>
      </c>
      <c r="M211" s="34">
        <f>Графік!K206</f>
        <v>0</v>
      </c>
      <c r="N211" s="33" t="str">
        <f>Графік!L206</f>
        <v/>
      </c>
      <c r="O211" s="36" t="str">
        <f>Графік!P206</f>
        <v/>
      </c>
      <c r="P211" s="55" t="str">
        <f>Графік!Q206</f>
        <v/>
      </c>
    </row>
    <row r="212" spans="1:16" hidden="1" x14ac:dyDescent="0.25">
      <c r="A212" s="29" t="str">
        <f>Графік!A207</f>
        <v/>
      </c>
      <c r="B212" s="173" t="e">
        <f ca="1">Графік!C207</f>
        <v>#VALUE!</v>
      </c>
      <c r="C212" s="31" t="str">
        <f>Графік!D207</f>
        <v/>
      </c>
      <c r="D212" s="32" t="str">
        <f>Графік!E207</f>
        <v/>
      </c>
      <c r="E212" s="33" t="str">
        <f>Графік!H207</f>
        <v/>
      </c>
      <c r="F212" s="32" t="str">
        <f>Графік!F207</f>
        <v/>
      </c>
      <c r="G212" s="33" t="str">
        <f>Графік!G207</f>
        <v/>
      </c>
      <c r="H212" s="33" t="str">
        <f>Графік!M207</f>
        <v/>
      </c>
      <c r="I212" s="33"/>
      <c r="J212" s="53" t="str">
        <f>Графік!N207</f>
        <v/>
      </c>
      <c r="K212" s="33" t="str">
        <f>Графік!I207</f>
        <v/>
      </c>
      <c r="L212" s="33" t="str">
        <f>Графік!J207</f>
        <v/>
      </c>
      <c r="M212" s="34">
        <f>Графік!K207</f>
        <v>0</v>
      </c>
      <c r="N212" s="33" t="str">
        <f>Графік!L207</f>
        <v/>
      </c>
      <c r="O212" s="36" t="str">
        <f>Графік!P207</f>
        <v/>
      </c>
      <c r="P212" s="55" t="str">
        <f>Графік!Q207</f>
        <v/>
      </c>
    </row>
    <row r="213" spans="1:16" hidden="1" x14ac:dyDescent="0.25">
      <c r="A213" s="29" t="str">
        <f>Графік!A208</f>
        <v/>
      </c>
      <c r="B213" s="173" t="e">
        <f ca="1">Графік!C208</f>
        <v>#VALUE!</v>
      </c>
      <c r="C213" s="31" t="str">
        <f>Графік!D208</f>
        <v/>
      </c>
      <c r="D213" s="32" t="str">
        <f>Графік!E208</f>
        <v/>
      </c>
      <c r="E213" s="33" t="str">
        <f>Графік!H208</f>
        <v/>
      </c>
      <c r="F213" s="32" t="str">
        <f>Графік!F208</f>
        <v/>
      </c>
      <c r="G213" s="33" t="str">
        <f>Графік!G208</f>
        <v/>
      </c>
      <c r="H213" s="33" t="str">
        <f>Графік!M208</f>
        <v/>
      </c>
      <c r="I213" s="33"/>
      <c r="J213" s="53" t="str">
        <f>Графік!N208</f>
        <v/>
      </c>
      <c r="K213" s="33" t="str">
        <f>Графік!I208</f>
        <v/>
      </c>
      <c r="L213" s="33" t="str">
        <f>Графік!J208</f>
        <v/>
      </c>
      <c r="M213" s="34">
        <f>Графік!K208</f>
        <v>0</v>
      </c>
      <c r="N213" s="33" t="str">
        <f>Графік!L208</f>
        <v/>
      </c>
      <c r="O213" s="36" t="str">
        <f>Графік!P208</f>
        <v/>
      </c>
      <c r="P213" s="55" t="str">
        <f>Графік!Q208</f>
        <v/>
      </c>
    </row>
    <row r="214" spans="1:16" hidden="1" x14ac:dyDescent="0.25">
      <c r="A214" s="29" t="str">
        <f>Графік!A209</f>
        <v/>
      </c>
      <c r="B214" s="173" t="e">
        <f ca="1">Графік!C209</f>
        <v>#VALUE!</v>
      </c>
      <c r="C214" s="31" t="str">
        <f>Графік!D209</f>
        <v/>
      </c>
      <c r="D214" s="32" t="str">
        <f>Графік!E209</f>
        <v/>
      </c>
      <c r="E214" s="33" t="str">
        <f>Графік!H209</f>
        <v/>
      </c>
      <c r="F214" s="32" t="str">
        <f>Графік!F209</f>
        <v/>
      </c>
      <c r="G214" s="33" t="str">
        <f>Графік!G209</f>
        <v/>
      </c>
      <c r="H214" s="33" t="str">
        <f>Графік!M209</f>
        <v/>
      </c>
      <c r="I214" s="33"/>
      <c r="J214" s="53" t="str">
        <f>Графік!N209</f>
        <v/>
      </c>
      <c r="K214" s="33" t="str">
        <f>Графік!I209</f>
        <v/>
      </c>
      <c r="L214" s="33" t="str">
        <f>Графік!J209</f>
        <v/>
      </c>
      <c r="M214" s="34">
        <f>Графік!K209</f>
        <v>0</v>
      </c>
      <c r="N214" s="33" t="str">
        <f>Графік!L209</f>
        <v/>
      </c>
      <c r="O214" s="36" t="str">
        <f>Графік!P209</f>
        <v/>
      </c>
      <c r="P214" s="55" t="str">
        <f>Графік!Q209</f>
        <v/>
      </c>
    </row>
    <row r="215" spans="1:16" hidden="1" x14ac:dyDescent="0.25">
      <c r="A215" s="29" t="str">
        <f>Графік!A210</f>
        <v/>
      </c>
      <c r="B215" s="173" t="e">
        <f ca="1">Графік!C210</f>
        <v>#VALUE!</v>
      </c>
      <c r="C215" s="31" t="str">
        <f>Графік!D210</f>
        <v/>
      </c>
      <c r="D215" s="32" t="str">
        <f>Графік!E210</f>
        <v/>
      </c>
      <c r="E215" s="33" t="str">
        <f>Графік!H210</f>
        <v/>
      </c>
      <c r="F215" s="32" t="str">
        <f>Графік!F210</f>
        <v/>
      </c>
      <c r="G215" s="33" t="str">
        <f>Графік!G210</f>
        <v/>
      </c>
      <c r="H215" s="33" t="str">
        <f>Графік!M210</f>
        <v/>
      </c>
      <c r="I215" s="33"/>
      <c r="J215" s="53" t="str">
        <f>Графік!N210</f>
        <v/>
      </c>
      <c r="K215" s="33" t="str">
        <f>Графік!I210</f>
        <v/>
      </c>
      <c r="L215" s="33" t="str">
        <f>Графік!J210</f>
        <v/>
      </c>
      <c r="M215" s="34">
        <f>Графік!K210</f>
        <v>0</v>
      </c>
      <c r="N215" s="33" t="str">
        <f>Графік!L210</f>
        <v/>
      </c>
      <c r="O215" s="36" t="str">
        <f>Графік!P210</f>
        <v/>
      </c>
      <c r="P215" s="55" t="str">
        <f>Графік!Q210</f>
        <v/>
      </c>
    </row>
    <row r="216" spans="1:16" hidden="1" x14ac:dyDescent="0.25">
      <c r="A216" s="29" t="str">
        <f>Графік!A211</f>
        <v/>
      </c>
      <c r="B216" s="173" t="e">
        <f ca="1">Графік!C211</f>
        <v>#VALUE!</v>
      </c>
      <c r="C216" s="31" t="str">
        <f>Графік!D211</f>
        <v/>
      </c>
      <c r="D216" s="32" t="str">
        <f>Графік!E211</f>
        <v/>
      </c>
      <c r="E216" s="33" t="str">
        <f>Графік!H211</f>
        <v/>
      </c>
      <c r="F216" s="32" t="str">
        <f>Графік!F211</f>
        <v/>
      </c>
      <c r="G216" s="33" t="str">
        <f>Графік!G211</f>
        <v/>
      </c>
      <c r="H216" s="33" t="str">
        <f>Графік!M211</f>
        <v/>
      </c>
      <c r="I216" s="33"/>
      <c r="J216" s="53" t="str">
        <f>Графік!N211</f>
        <v/>
      </c>
      <c r="K216" s="33" t="str">
        <f>Графік!I211</f>
        <v/>
      </c>
      <c r="L216" s="33" t="str">
        <f>Графік!J211</f>
        <v/>
      </c>
      <c r="M216" s="34">
        <f>Графік!K211</f>
        <v>0</v>
      </c>
      <c r="N216" s="33" t="str">
        <f>Графік!L211</f>
        <v/>
      </c>
      <c r="O216" s="36" t="str">
        <f>Графік!P211</f>
        <v/>
      </c>
      <c r="P216" s="55" t="str">
        <f>Графік!Q211</f>
        <v/>
      </c>
    </row>
    <row r="217" spans="1:16" hidden="1" x14ac:dyDescent="0.25">
      <c r="A217" s="29" t="str">
        <f>Графік!A212</f>
        <v/>
      </c>
      <c r="B217" s="173" t="e">
        <f ca="1">Графік!C212</f>
        <v>#VALUE!</v>
      </c>
      <c r="C217" s="31" t="str">
        <f>Графік!D212</f>
        <v/>
      </c>
      <c r="D217" s="32" t="str">
        <f>Графік!E212</f>
        <v/>
      </c>
      <c r="E217" s="33" t="str">
        <f>Графік!H212</f>
        <v/>
      </c>
      <c r="F217" s="32" t="str">
        <f>Графік!F212</f>
        <v/>
      </c>
      <c r="G217" s="33" t="str">
        <f>Графік!G212</f>
        <v/>
      </c>
      <c r="H217" s="33" t="str">
        <f>Графік!M212</f>
        <v/>
      </c>
      <c r="I217" s="33"/>
      <c r="J217" s="53" t="str">
        <f>Графік!N212</f>
        <v/>
      </c>
      <c r="K217" s="33" t="str">
        <f>Графік!I212</f>
        <v/>
      </c>
      <c r="L217" s="33" t="str">
        <f>Графік!J212</f>
        <v/>
      </c>
      <c r="M217" s="34">
        <f>Графік!K212</f>
        <v>0</v>
      </c>
      <c r="N217" s="33" t="str">
        <f>Графік!L212</f>
        <v/>
      </c>
      <c r="O217" s="36" t="str">
        <f>Графік!P212</f>
        <v/>
      </c>
      <c r="P217" s="55" t="str">
        <f>Графік!Q212</f>
        <v/>
      </c>
    </row>
    <row r="218" spans="1:16" hidden="1" x14ac:dyDescent="0.25">
      <c r="A218" s="29" t="str">
        <f>Графік!A213</f>
        <v/>
      </c>
      <c r="B218" s="173" t="e">
        <f ca="1">Графік!C213</f>
        <v>#VALUE!</v>
      </c>
      <c r="C218" s="31" t="str">
        <f>Графік!D213</f>
        <v/>
      </c>
      <c r="D218" s="32" t="str">
        <f>Графік!E213</f>
        <v/>
      </c>
      <c r="E218" s="33" t="str">
        <f>Графік!H213</f>
        <v/>
      </c>
      <c r="F218" s="32" t="str">
        <f>Графік!F213</f>
        <v/>
      </c>
      <c r="G218" s="33" t="str">
        <f>Графік!G213</f>
        <v/>
      </c>
      <c r="H218" s="33" t="str">
        <f>Графік!M213</f>
        <v/>
      </c>
      <c r="I218" s="33"/>
      <c r="J218" s="53" t="str">
        <f>Графік!N213</f>
        <v/>
      </c>
      <c r="K218" s="33" t="str">
        <f>Графік!I213</f>
        <v/>
      </c>
      <c r="L218" s="33" t="str">
        <f>Графік!J213</f>
        <v/>
      </c>
      <c r="M218" s="34">
        <f>Графік!K213</f>
        <v>0</v>
      </c>
      <c r="N218" s="33" t="str">
        <f>Графік!L213</f>
        <v/>
      </c>
      <c r="O218" s="36" t="str">
        <f>Графік!P213</f>
        <v/>
      </c>
      <c r="P218" s="55" t="str">
        <f>Графік!Q213</f>
        <v/>
      </c>
    </row>
    <row r="219" spans="1:16" hidden="1" x14ac:dyDescent="0.25">
      <c r="A219" s="29" t="str">
        <f>Графік!A214</f>
        <v/>
      </c>
      <c r="B219" s="173" t="e">
        <f ca="1">Графік!C214</f>
        <v>#VALUE!</v>
      </c>
      <c r="C219" s="31" t="str">
        <f>Графік!D214</f>
        <v/>
      </c>
      <c r="D219" s="32" t="str">
        <f>Графік!E214</f>
        <v/>
      </c>
      <c r="E219" s="33" t="str">
        <f>Графік!H214</f>
        <v/>
      </c>
      <c r="F219" s="32" t="str">
        <f>Графік!F214</f>
        <v/>
      </c>
      <c r="G219" s="33" t="str">
        <f>Графік!G214</f>
        <v/>
      </c>
      <c r="H219" s="33" t="str">
        <f>Графік!M214</f>
        <v/>
      </c>
      <c r="I219" s="33"/>
      <c r="J219" s="53" t="str">
        <f>Графік!N214</f>
        <v/>
      </c>
      <c r="K219" s="33" t="str">
        <f>Графік!I214</f>
        <v/>
      </c>
      <c r="L219" s="33" t="str">
        <f>Графік!J214</f>
        <v/>
      </c>
      <c r="M219" s="34">
        <f>Графік!K214</f>
        <v>0</v>
      </c>
      <c r="N219" s="33" t="str">
        <f>Графік!L214</f>
        <v/>
      </c>
      <c r="O219" s="36" t="str">
        <f>Графік!P214</f>
        <v/>
      </c>
      <c r="P219" s="55" t="str">
        <f>Графік!Q214</f>
        <v/>
      </c>
    </row>
    <row r="220" spans="1:16" hidden="1" x14ac:dyDescent="0.25">
      <c r="A220" s="29" t="str">
        <f>Графік!A215</f>
        <v/>
      </c>
      <c r="B220" s="173" t="e">
        <f ca="1">Графік!C215</f>
        <v>#VALUE!</v>
      </c>
      <c r="C220" s="31" t="str">
        <f>Графік!D215</f>
        <v/>
      </c>
      <c r="D220" s="32" t="str">
        <f>Графік!E215</f>
        <v/>
      </c>
      <c r="E220" s="33" t="str">
        <f>Графік!H215</f>
        <v/>
      </c>
      <c r="F220" s="32" t="str">
        <f>Графік!F215</f>
        <v/>
      </c>
      <c r="G220" s="33" t="str">
        <f>Графік!G215</f>
        <v/>
      </c>
      <c r="H220" s="33" t="str">
        <f>Графік!M215</f>
        <v/>
      </c>
      <c r="I220" s="33"/>
      <c r="J220" s="53" t="str">
        <f>Графік!N215</f>
        <v/>
      </c>
      <c r="K220" s="33" t="str">
        <f>Графік!I215</f>
        <v/>
      </c>
      <c r="L220" s="33" t="str">
        <f>Графік!J215</f>
        <v/>
      </c>
      <c r="M220" s="34">
        <f>Графік!K215</f>
        <v>0</v>
      </c>
      <c r="N220" s="33" t="str">
        <f>Графік!L215</f>
        <v/>
      </c>
      <c r="O220" s="36" t="str">
        <f>Графік!P215</f>
        <v/>
      </c>
      <c r="P220" s="55" t="str">
        <f>Графік!Q215</f>
        <v/>
      </c>
    </row>
    <row r="221" spans="1:16" hidden="1" x14ac:dyDescent="0.25">
      <c r="A221" s="29" t="str">
        <f>Графік!A216</f>
        <v/>
      </c>
      <c r="B221" s="173" t="e">
        <f ca="1">Графік!C216</f>
        <v>#VALUE!</v>
      </c>
      <c r="C221" s="31" t="str">
        <f>Графік!D216</f>
        <v/>
      </c>
      <c r="D221" s="32" t="str">
        <f>Графік!E216</f>
        <v/>
      </c>
      <c r="E221" s="33" t="str">
        <f>Графік!H216</f>
        <v/>
      </c>
      <c r="F221" s="32" t="str">
        <f>Графік!F216</f>
        <v/>
      </c>
      <c r="G221" s="33" t="str">
        <f>Графік!G216</f>
        <v/>
      </c>
      <c r="H221" s="33" t="str">
        <f>Графік!M216</f>
        <v/>
      </c>
      <c r="I221" s="33"/>
      <c r="J221" s="53" t="str">
        <f>Графік!N216</f>
        <v/>
      </c>
      <c r="K221" s="33" t="str">
        <f>Графік!I216</f>
        <v/>
      </c>
      <c r="L221" s="33" t="str">
        <f>Графік!J216</f>
        <v/>
      </c>
      <c r="M221" s="34">
        <f>Графік!K216</f>
        <v>0</v>
      </c>
      <c r="N221" s="33" t="str">
        <f>Графік!L216</f>
        <v/>
      </c>
      <c r="O221" s="36" t="str">
        <f>Графік!P216</f>
        <v/>
      </c>
      <c r="P221" s="55" t="str">
        <f>Графік!Q216</f>
        <v/>
      </c>
    </row>
    <row r="222" spans="1:16" hidden="1" x14ac:dyDescent="0.25">
      <c r="A222" s="29" t="str">
        <f>Графік!A217</f>
        <v/>
      </c>
      <c r="B222" s="173" t="e">
        <f ca="1">Графік!C217</f>
        <v>#VALUE!</v>
      </c>
      <c r="C222" s="31" t="str">
        <f>Графік!D217</f>
        <v/>
      </c>
      <c r="D222" s="32" t="str">
        <f>Графік!E217</f>
        <v/>
      </c>
      <c r="E222" s="33" t="str">
        <f>Графік!H217</f>
        <v/>
      </c>
      <c r="F222" s="32" t="str">
        <f>Графік!F217</f>
        <v/>
      </c>
      <c r="G222" s="33" t="str">
        <f>Графік!G217</f>
        <v/>
      </c>
      <c r="H222" s="33" t="str">
        <f>Графік!M217</f>
        <v/>
      </c>
      <c r="I222" s="33"/>
      <c r="J222" s="53" t="str">
        <f>Графік!N217</f>
        <v/>
      </c>
      <c r="K222" s="33" t="str">
        <f>Графік!I217</f>
        <v/>
      </c>
      <c r="L222" s="33" t="str">
        <f>Графік!J217</f>
        <v/>
      </c>
      <c r="M222" s="33" t="str">
        <f>Графік!K217</f>
        <v/>
      </c>
      <c r="N222" s="33" t="str">
        <f>Графік!L217</f>
        <v/>
      </c>
      <c r="O222" s="36" t="str">
        <f>Графік!P217</f>
        <v/>
      </c>
      <c r="P222" s="55" t="str">
        <f>Графік!Q217</f>
        <v/>
      </c>
    </row>
    <row r="223" spans="1:16" hidden="1" x14ac:dyDescent="0.25">
      <c r="A223" s="29" t="str">
        <f>Графік!A218</f>
        <v/>
      </c>
      <c r="B223" s="173" t="e">
        <f ca="1">Графік!C218</f>
        <v>#VALUE!</v>
      </c>
      <c r="C223" s="31" t="str">
        <f>Графік!D218</f>
        <v/>
      </c>
      <c r="D223" s="32" t="str">
        <f>Графік!E218</f>
        <v/>
      </c>
      <c r="E223" s="33" t="str">
        <f>Графік!H218</f>
        <v/>
      </c>
      <c r="F223" s="32" t="str">
        <f>Графік!F218</f>
        <v/>
      </c>
      <c r="G223" s="33" t="str">
        <f>Графік!G218</f>
        <v/>
      </c>
      <c r="H223" s="33" t="str">
        <f>Графік!M218</f>
        <v/>
      </c>
      <c r="I223" s="33"/>
      <c r="J223" s="53" t="str">
        <f>Графік!N218</f>
        <v/>
      </c>
      <c r="K223" s="33" t="str">
        <f>Графік!I218</f>
        <v/>
      </c>
      <c r="L223" s="33" t="str">
        <f>Графік!J218</f>
        <v/>
      </c>
      <c r="M223" s="34">
        <f>Графік!K218</f>
        <v>0</v>
      </c>
      <c r="N223" s="33" t="str">
        <f>Графік!L218</f>
        <v/>
      </c>
      <c r="O223" s="36" t="str">
        <f>Графік!P218</f>
        <v/>
      </c>
      <c r="P223" s="55" t="str">
        <f>Графік!Q218</f>
        <v/>
      </c>
    </row>
    <row r="224" spans="1:16" hidden="1" x14ac:dyDescent="0.25">
      <c r="A224" s="29" t="str">
        <f>Графік!A219</f>
        <v/>
      </c>
      <c r="B224" s="173" t="e">
        <f ca="1">Графік!C219</f>
        <v>#VALUE!</v>
      </c>
      <c r="C224" s="31" t="str">
        <f>Графік!D219</f>
        <v/>
      </c>
      <c r="D224" s="32" t="str">
        <f>Графік!E219</f>
        <v/>
      </c>
      <c r="E224" s="33" t="str">
        <f>Графік!H219</f>
        <v/>
      </c>
      <c r="F224" s="32" t="str">
        <f>Графік!F219</f>
        <v/>
      </c>
      <c r="G224" s="33" t="str">
        <f>Графік!G219</f>
        <v/>
      </c>
      <c r="H224" s="33" t="str">
        <f>Графік!M219</f>
        <v/>
      </c>
      <c r="I224" s="33"/>
      <c r="J224" s="53" t="str">
        <f>Графік!N219</f>
        <v/>
      </c>
      <c r="K224" s="33" t="str">
        <f>Графік!I219</f>
        <v/>
      </c>
      <c r="L224" s="33" t="str">
        <f>Графік!J219</f>
        <v/>
      </c>
      <c r="M224" s="34">
        <f>Графік!K219</f>
        <v>0</v>
      </c>
      <c r="N224" s="33" t="str">
        <f>Графік!L219</f>
        <v/>
      </c>
      <c r="O224" s="36" t="str">
        <f>Графік!P219</f>
        <v/>
      </c>
      <c r="P224" s="55" t="str">
        <f>Графік!Q219</f>
        <v/>
      </c>
    </row>
    <row r="225" spans="1:16" hidden="1" x14ac:dyDescent="0.25">
      <c r="A225" s="29" t="str">
        <f>Графік!A220</f>
        <v/>
      </c>
      <c r="B225" s="173" t="e">
        <f ca="1">Графік!C220</f>
        <v>#VALUE!</v>
      </c>
      <c r="C225" s="31" t="str">
        <f>Графік!D220</f>
        <v/>
      </c>
      <c r="D225" s="32" t="str">
        <f>Графік!E220</f>
        <v/>
      </c>
      <c r="E225" s="33" t="str">
        <f>Графік!H220</f>
        <v/>
      </c>
      <c r="F225" s="32" t="str">
        <f>Графік!F220</f>
        <v/>
      </c>
      <c r="G225" s="33" t="str">
        <f>Графік!G220</f>
        <v/>
      </c>
      <c r="H225" s="33" t="str">
        <f>Графік!M220</f>
        <v/>
      </c>
      <c r="I225" s="33"/>
      <c r="J225" s="53" t="str">
        <f>Графік!N220</f>
        <v/>
      </c>
      <c r="K225" s="33" t="str">
        <f>Графік!I220</f>
        <v/>
      </c>
      <c r="L225" s="33" t="str">
        <f>Графік!J220</f>
        <v/>
      </c>
      <c r="M225" s="34">
        <f>Графік!K220</f>
        <v>0</v>
      </c>
      <c r="N225" s="33" t="str">
        <f>Графік!L220</f>
        <v/>
      </c>
      <c r="O225" s="36" t="str">
        <f>Графік!P220</f>
        <v/>
      </c>
      <c r="P225" s="55" t="str">
        <f>Графік!Q220</f>
        <v/>
      </c>
    </row>
    <row r="226" spans="1:16" hidden="1" x14ac:dyDescent="0.25">
      <c r="A226" s="29" t="str">
        <f>Графік!A221</f>
        <v/>
      </c>
      <c r="B226" s="173" t="e">
        <f ca="1">Графік!C221</f>
        <v>#VALUE!</v>
      </c>
      <c r="C226" s="31" t="str">
        <f>Графік!D221</f>
        <v/>
      </c>
      <c r="D226" s="32" t="str">
        <f>Графік!E221</f>
        <v/>
      </c>
      <c r="E226" s="33" t="str">
        <f>Графік!H221</f>
        <v/>
      </c>
      <c r="F226" s="32" t="str">
        <f>Графік!F221</f>
        <v/>
      </c>
      <c r="G226" s="33" t="str">
        <f>Графік!G221</f>
        <v/>
      </c>
      <c r="H226" s="33" t="str">
        <f>Графік!M221</f>
        <v/>
      </c>
      <c r="I226" s="33"/>
      <c r="J226" s="53" t="str">
        <f>Графік!N221</f>
        <v/>
      </c>
      <c r="K226" s="33" t="str">
        <f>Графік!I221</f>
        <v/>
      </c>
      <c r="L226" s="33" t="str">
        <f>Графік!J221</f>
        <v/>
      </c>
      <c r="M226" s="34">
        <f>Графік!K221</f>
        <v>0</v>
      </c>
      <c r="N226" s="33" t="str">
        <f>Графік!L221</f>
        <v/>
      </c>
      <c r="O226" s="36" t="str">
        <f>Графік!P221</f>
        <v/>
      </c>
      <c r="P226" s="55" t="str">
        <f>Графік!Q221</f>
        <v/>
      </c>
    </row>
    <row r="227" spans="1:16" hidden="1" x14ac:dyDescent="0.25">
      <c r="A227" s="29" t="str">
        <f>Графік!A222</f>
        <v/>
      </c>
      <c r="B227" s="173" t="e">
        <f ca="1">Графік!C222</f>
        <v>#VALUE!</v>
      </c>
      <c r="C227" s="31" t="str">
        <f>Графік!D222</f>
        <v/>
      </c>
      <c r="D227" s="32" t="str">
        <f>Графік!E222</f>
        <v/>
      </c>
      <c r="E227" s="33" t="str">
        <f>Графік!H222</f>
        <v/>
      </c>
      <c r="F227" s="32" t="str">
        <f>Графік!F222</f>
        <v/>
      </c>
      <c r="G227" s="33" t="str">
        <f>Графік!G222</f>
        <v/>
      </c>
      <c r="H227" s="33" t="str">
        <f>Графік!M222</f>
        <v/>
      </c>
      <c r="I227" s="33"/>
      <c r="J227" s="53" t="str">
        <f>Графік!N222</f>
        <v/>
      </c>
      <c r="K227" s="33" t="str">
        <f>Графік!I222</f>
        <v/>
      </c>
      <c r="L227" s="33" t="str">
        <f>Графік!J222</f>
        <v/>
      </c>
      <c r="M227" s="34">
        <f>Графік!K222</f>
        <v>0</v>
      </c>
      <c r="N227" s="33" t="str">
        <f>Графік!L222</f>
        <v/>
      </c>
      <c r="O227" s="36" t="str">
        <f>Графік!P222</f>
        <v/>
      </c>
      <c r="P227" s="55" t="str">
        <f>Графік!Q222</f>
        <v/>
      </c>
    </row>
    <row r="228" spans="1:16" hidden="1" x14ac:dyDescent="0.25">
      <c r="A228" s="29" t="str">
        <f>Графік!A223</f>
        <v/>
      </c>
      <c r="B228" s="173" t="e">
        <f ca="1">Графік!C223</f>
        <v>#VALUE!</v>
      </c>
      <c r="C228" s="31" t="str">
        <f>Графік!D223</f>
        <v/>
      </c>
      <c r="D228" s="32" t="str">
        <f>Графік!E223</f>
        <v/>
      </c>
      <c r="E228" s="33" t="str">
        <f>Графік!H223</f>
        <v/>
      </c>
      <c r="F228" s="32" t="str">
        <f>Графік!F223</f>
        <v/>
      </c>
      <c r="G228" s="33" t="str">
        <f>Графік!G223</f>
        <v/>
      </c>
      <c r="H228" s="33" t="str">
        <f>Графік!M223</f>
        <v/>
      </c>
      <c r="I228" s="33"/>
      <c r="J228" s="53" t="str">
        <f>Графік!N223</f>
        <v/>
      </c>
      <c r="K228" s="33" t="str">
        <f>Графік!I223</f>
        <v/>
      </c>
      <c r="L228" s="33" t="str">
        <f>Графік!J223</f>
        <v/>
      </c>
      <c r="M228" s="34">
        <f>Графік!K223</f>
        <v>0</v>
      </c>
      <c r="N228" s="33" t="str">
        <f>Графік!L223</f>
        <v/>
      </c>
      <c r="O228" s="36" t="str">
        <f>Графік!P223</f>
        <v/>
      </c>
      <c r="P228" s="55" t="str">
        <f>Графік!Q223</f>
        <v/>
      </c>
    </row>
    <row r="229" spans="1:16" hidden="1" x14ac:dyDescent="0.25">
      <c r="A229" s="29" t="str">
        <f>Графік!A224</f>
        <v/>
      </c>
      <c r="B229" s="173" t="e">
        <f ca="1">Графік!C224</f>
        <v>#VALUE!</v>
      </c>
      <c r="C229" s="31" t="str">
        <f>Графік!D224</f>
        <v/>
      </c>
      <c r="D229" s="32" t="str">
        <f>Графік!E224</f>
        <v/>
      </c>
      <c r="E229" s="33" t="str">
        <f>Графік!H224</f>
        <v/>
      </c>
      <c r="F229" s="32" t="str">
        <f>Графік!F224</f>
        <v/>
      </c>
      <c r="G229" s="33" t="str">
        <f>Графік!G224</f>
        <v/>
      </c>
      <c r="H229" s="33" t="str">
        <f>Графік!M224</f>
        <v/>
      </c>
      <c r="I229" s="33"/>
      <c r="J229" s="53" t="str">
        <f>Графік!N224</f>
        <v/>
      </c>
      <c r="K229" s="33" t="str">
        <f>Графік!I224</f>
        <v/>
      </c>
      <c r="L229" s="33" t="str">
        <f>Графік!J224</f>
        <v/>
      </c>
      <c r="M229" s="34">
        <f>Графік!K224</f>
        <v>0</v>
      </c>
      <c r="N229" s="33" t="str">
        <f>Графік!L224</f>
        <v/>
      </c>
      <c r="O229" s="36" t="str">
        <f>Графік!P224</f>
        <v/>
      </c>
      <c r="P229" s="55" t="str">
        <f>Графік!Q224</f>
        <v/>
      </c>
    </row>
    <row r="230" spans="1:16" hidden="1" x14ac:dyDescent="0.25">
      <c r="A230" s="29" t="str">
        <f>Графік!A225</f>
        <v/>
      </c>
      <c r="B230" s="173" t="e">
        <f ca="1">Графік!C225</f>
        <v>#VALUE!</v>
      </c>
      <c r="C230" s="31" t="str">
        <f>Графік!D225</f>
        <v/>
      </c>
      <c r="D230" s="32" t="str">
        <f>Графік!E225</f>
        <v/>
      </c>
      <c r="E230" s="33" t="str">
        <f>Графік!H225</f>
        <v/>
      </c>
      <c r="F230" s="32" t="str">
        <f>Графік!F225</f>
        <v/>
      </c>
      <c r="G230" s="33" t="str">
        <f>Графік!G225</f>
        <v/>
      </c>
      <c r="H230" s="33" t="str">
        <f>Графік!M225</f>
        <v/>
      </c>
      <c r="I230" s="33"/>
      <c r="J230" s="53" t="str">
        <f>Графік!N225</f>
        <v/>
      </c>
      <c r="K230" s="33" t="str">
        <f>Графік!I225</f>
        <v/>
      </c>
      <c r="L230" s="33" t="str">
        <f>Графік!J225</f>
        <v/>
      </c>
      <c r="M230" s="34">
        <f>Графік!K225</f>
        <v>0</v>
      </c>
      <c r="N230" s="33" t="str">
        <f>Графік!L225</f>
        <v/>
      </c>
      <c r="O230" s="36" t="str">
        <f>Графік!P225</f>
        <v/>
      </c>
      <c r="P230" s="55" t="str">
        <f>Графік!Q225</f>
        <v/>
      </c>
    </row>
    <row r="231" spans="1:16" hidden="1" x14ac:dyDescent="0.25">
      <c r="A231" s="29" t="str">
        <f>Графік!A226</f>
        <v/>
      </c>
      <c r="B231" s="173" t="e">
        <f ca="1">Графік!C226</f>
        <v>#VALUE!</v>
      </c>
      <c r="C231" s="31" t="str">
        <f>Графік!D226</f>
        <v/>
      </c>
      <c r="D231" s="32" t="str">
        <f>Графік!E226</f>
        <v/>
      </c>
      <c r="E231" s="33" t="str">
        <f>Графік!H226</f>
        <v/>
      </c>
      <c r="F231" s="32" t="str">
        <f>Графік!F226</f>
        <v/>
      </c>
      <c r="G231" s="33" t="str">
        <f>Графік!G226</f>
        <v/>
      </c>
      <c r="H231" s="33" t="str">
        <f>Графік!M226</f>
        <v/>
      </c>
      <c r="I231" s="33"/>
      <c r="J231" s="53" t="str">
        <f>Графік!N226</f>
        <v/>
      </c>
      <c r="K231" s="33" t="str">
        <f>Графік!I226</f>
        <v/>
      </c>
      <c r="L231" s="33" t="str">
        <f>Графік!J226</f>
        <v/>
      </c>
      <c r="M231" s="34">
        <f>Графік!K226</f>
        <v>0</v>
      </c>
      <c r="N231" s="33" t="str">
        <f>Графік!L226</f>
        <v/>
      </c>
      <c r="O231" s="36" t="str">
        <f>Графік!P226</f>
        <v/>
      </c>
      <c r="P231" s="55" t="str">
        <f>Графік!Q226</f>
        <v/>
      </c>
    </row>
    <row r="232" spans="1:16" hidden="1" x14ac:dyDescent="0.25">
      <c r="A232" s="29" t="str">
        <f>Графік!A227</f>
        <v/>
      </c>
      <c r="B232" s="173" t="e">
        <f ca="1">Графік!C227</f>
        <v>#VALUE!</v>
      </c>
      <c r="C232" s="31" t="str">
        <f>Графік!D227</f>
        <v/>
      </c>
      <c r="D232" s="32" t="str">
        <f>Графік!E227</f>
        <v/>
      </c>
      <c r="E232" s="33" t="str">
        <f>Графік!H227</f>
        <v/>
      </c>
      <c r="F232" s="32" t="str">
        <f>Графік!F227</f>
        <v/>
      </c>
      <c r="G232" s="33" t="str">
        <f>Графік!G227</f>
        <v/>
      </c>
      <c r="H232" s="33" t="str">
        <f>Графік!M227</f>
        <v/>
      </c>
      <c r="I232" s="33"/>
      <c r="J232" s="53" t="str">
        <f>Графік!N227</f>
        <v/>
      </c>
      <c r="K232" s="33" t="str">
        <f>Графік!I227</f>
        <v/>
      </c>
      <c r="L232" s="33" t="str">
        <f>Графік!J227</f>
        <v/>
      </c>
      <c r="M232" s="34">
        <f>Графік!K227</f>
        <v>0</v>
      </c>
      <c r="N232" s="33" t="str">
        <f>Графік!L227</f>
        <v/>
      </c>
      <c r="O232" s="36" t="str">
        <f>Графік!P227</f>
        <v/>
      </c>
      <c r="P232" s="55" t="str">
        <f>Графік!Q227</f>
        <v/>
      </c>
    </row>
    <row r="233" spans="1:16" hidden="1" x14ac:dyDescent="0.25">
      <c r="A233" s="29" t="str">
        <f>Графік!A228</f>
        <v/>
      </c>
      <c r="B233" s="173" t="e">
        <f ca="1">Графік!C228</f>
        <v>#VALUE!</v>
      </c>
      <c r="C233" s="31" t="str">
        <f>Графік!D228</f>
        <v/>
      </c>
      <c r="D233" s="32" t="str">
        <f>Графік!E228</f>
        <v/>
      </c>
      <c r="E233" s="33" t="str">
        <f>Графік!H228</f>
        <v/>
      </c>
      <c r="F233" s="32" t="str">
        <f>Графік!F228</f>
        <v/>
      </c>
      <c r="G233" s="33" t="str">
        <f>Графік!G228</f>
        <v/>
      </c>
      <c r="H233" s="33" t="str">
        <f>Графік!M228</f>
        <v/>
      </c>
      <c r="I233" s="33"/>
      <c r="J233" s="53" t="str">
        <f>Графік!N228</f>
        <v/>
      </c>
      <c r="K233" s="33" t="str">
        <f>Графік!I228</f>
        <v/>
      </c>
      <c r="L233" s="33" t="str">
        <f>Графік!J228</f>
        <v/>
      </c>
      <c r="M233" s="34">
        <f>Графік!K228</f>
        <v>0</v>
      </c>
      <c r="N233" s="33" t="str">
        <f>Графік!L228</f>
        <v/>
      </c>
      <c r="O233" s="36" t="str">
        <f>Графік!P228</f>
        <v/>
      </c>
      <c r="P233" s="55" t="str">
        <f>Графік!Q228</f>
        <v/>
      </c>
    </row>
    <row r="234" spans="1:16" hidden="1" x14ac:dyDescent="0.25">
      <c r="A234" s="29" t="str">
        <f>Графік!A229</f>
        <v/>
      </c>
      <c r="B234" s="173" t="e">
        <f ca="1">Графік!C229</f>
        <v>#VALUE!</v>
      </c>
      <c r="C234" s="31" t="str">
        <f>Графік!D229</f>
        <v/>
      </c>
      <c r="D234" s="32" t="str">
        <f>Графік!E229</f>
        <v/>
      </c>
      <c r="E234" s="33" t="str">
        <f>Графік!H229</f>
        <v/>
      </c>
      <c r="F234" s="32" t="str">
        <f>Графік!F229</f>
        <v/>
      </c>
      <c r="G234" s="33" t="str">
        <f>Графік!G229</f>
        <v/>
      </c>
      <c r="H234" s="33" t="str">
        <f>Графік!M229</f>
        <v/>
      </c>
      <c r="I234" s="33"/>
      <c r="J234" s="53" t="str">
        <f>Графік!N229</f>
        <v/>
      </c>
      <c r="K234" s="33" t="str">
        <f>Графік!I229</f>
        <v/>
      </c>
      <c r="L234" s="33" t="str">
        <f>Графік!J229</f>
        <v/>
      </c>
      <c r="M234" s="33" t="str">
        <f>Графік!K229</f>
        <v/>
      </c>
      <c r="N234" s="33" t="str">
        <f>Графік!L229</f>
        <v/>
      </c>
      <c r="O234" s="36" t="str">
        <f>Графік!P229</f>
        <v/>
      </c>
      <c r="P234" s="55" t="str">
        <f>Графік!Q229</f>
        <v/>
      </c>
    </row>
    <row r="235" spans="1:16" hidden="1" x14ac:dyDescent="0.25">
      <c r="A235" s="29" t="str">
        <f>Графік!A230</f>
        <v/>
      </c>
      <c r="B235" s="173" t="e">
        <f ca="1">Графік!C230</f>
        <v>#VALUE!</v>
      </c>
      <c r="C235" s="31" t="str">
        <f>Графік!D230</f>
        <v/>
      </c>
      <c r="D235" s="32" t="str">
        <f>Графік!E230</f>
        <v/>
      </c>
      <c r="E235" s="33" t="str">
        <f>Графік!H230</f>
        <v/>
      </c>
      <c r="F235" s="32" t="str">
        <f>Графік!F230</f>
        <v/>
      </c>
      <c r="G235" s="33" t="str">
        <f>Графік!G230</f>
        <v/>
      </c>
      <c r="H235" s="33" t="str">
        <f>Графік!M230</f>
        <v/>
      </c>
      <c r="I235" s="33"/>
      <c r="J235" s="53" t="str">
        <f>Графік!N230</f>
        <v/>
      </c>
      <c r="K235" s="33" t="str">
        <f>Графік!I230</f>
        <v/>
      </c>
      <c r="L235" s="33" t="str">
        <f>Графік!J230</f>
        <v/>
      </c>
      <c r="M235" s="34">
        <f>Графік!K230</f>
        <v>0</v>
      </c>
      <c r="N235" s="33" t="str">
        <f>Графік!L230</f>
        <v/>
      </c>
      <c r="O235" s="36" t="str">
        <f>Графік!P230</f>
        <v/>
      </c>
      <c r="P235" s="55" t="str">
        <f>Графік!Q230</f>
        <v/>
      </c>
    </row>
    <row r="236" spans="1:16" hidden="1" x14ac:dyDescent="0.25">
      <c r="A236" s="29" t="str">
        <f>Графік!A231</f>
        <v/>
      </c>
      <c r="B236" s="173" t="e">
        <f ca="1">Графік!C231</f>
        <v>#VALUE!</v>
      </c>
      <c r="C236" s="31" t="str">
        <f>Графік!D231</f>
        <v/>
      </c>
      <c r="D236" s="32" t="str">
        <f>Графік!E231</f>
        <v/>
      </c>
      <c r="E236" s="33" t="str">
        <f>Графік!H231</f>
        <v/>
      </c>
      <c r="F236" s="32" t="str">
        <f>Графік!F231</f>
        <v/>
      </c>
      <c r="G236" s="33" t="str">
        <f>Графік!G231</f>
        <v/>
      </c>
      <c r="H236" s="33" t="str">
        <f>Графік!M231</f>
        <v/>
      </c>
      <c r="I236" s="33"/>
      <c r="J236" s="53" t="str">
        <f>Графік!N231</f>
        <v/>
      </c>
      <c r="K236" s="33" t="str">
        <f>Графік!I231</f>
        <v/>
      </c>
      <c r="L236" s="33" t="str">
        <f>Графік!J231</f>
        <v/>
      </c>
      <c r="M236" s="34">
        <f>Графік!K231</f>
        <v>0</v>
      </c>
      <c r="N236" s="33" t="str">
        <f>Графік!L231</f>
        <v/>
      </c>
      <c r="O236" s="36" t="str">
        <f>Графік!P231</f>
        <v/>
      </c>
      <c r="P236" s="55" t="str">
        <f>Графік!Q231</f>
        <v/>
      </c>
    </row>
    <row r="237" spans="1:16" hidden="1" x14ac:dyDescent="0.25">
      <c r="A237" s="29" t="str">
        <f>Графік!A232</f>
        <v/>
      </c>
      <c r="B237" s="173" t="e">
        <f ca="1">Графік!C232</f>
        <v>#VALUE!</v>
      </c>
      <c r="C237" s="31" t="str">
        <f>Графік!D232</f>
        <v/>
      </c>
      <c r="D237" s="32" t="str">
        <f>Графік!E232</f>
        <v/>
      </c>
      <c r="E237" s="33" t="str">
        <f>Графік!H232</f>
        <v/>
      </c>
      <c r="F237" s="32" t="str">
        <f>Графік!F232</f>
        <v/>
      </c>
      <c r="G237" s="33" t="str">
        <f>Графік!G232</f>
        <v/>
      </c>
      <c r="H237" s="33" t="str">
        <f>Графік!M232</f>
        <v/>
      </c>
      <c r="I237" s="33"/>
      <c r="J237" s="53" t="str">
        <f>Графік!N232</f>
        <v/>
      </c>
      <c r="K237" s="33" t="str">
        <f>Графік!I232</f>
        <v/>
      </c>
      <c r="L237" s="33" t="str">
        <f>Графік!J232</f>
        <v/>
      </c>
      <c r="M237" s="34">
        <f>Графік!K232</f>
        <v>0</v>
      </c>
      <c r="N237" s="33" t="str">
        <f>Графік!L232</f>
        <v/>
      </c>
      <c r="O237" s="36" t="str">
        <f>Графік!P232</f>
        <v/>
      </c>
      <c r="P237" s="55" t="str">
        <f>Графік!Q232</f>
        <v/>
      </c>
    </row>
    <row r="238" spans="1:16" hidden="1" x14ac:dyDescent="0.25">
      <c r="A238" s="29" t="str">
        <f>Графік!A233</f>
        <v/>
      </c>
      <c r="B238" s="173" t="e">
        <f ca="1">Графік!C233</f>
        <v>#VALUE!</v>
      </c>
      <c r="C238" s="31" t="str">
        <f>Графік!D233</f>
        <v/>
      </c>
      <c r="D238" s="32" t="str">
        <f>Графік!E233</f>
        <v/>
      </c>
      <c r="E238" s="33" t="str">
        <f>Графік!H233</f>
        <v/>
      </c>
      <c r="F238" s="32" t="str">
        <f>Графік!F233</f>
        <v/>
      </c>
      <c r="G238" s="33" t="str">
        <f>Графік!G233</f>
        <v/>
      </c>
      <c r="H238" s="33" t="str">
        <f>Графік!M233</f>
        <v/>
      </c>
      <c r="I238" s="33"/>
      <c r="J238" s="53" t="str">
        <f>Графік!N233</f>
        <v/>
      </c>
      <c r="K238" s="33" t="str">
        <f>Графік!I233</f>
        <v/>
      </c>
      <c r="L238" s="33" t="str">
        <f>Графік!J233</f>
        <v/>
      </c>
      <c r="M238" s="34">
        <f>Графік!K233</f>
        <v>0</v>
      </c>
      <c r="N238" s="33" t="str">
        <f>Графік!L233</f>
        <v/>
      </c>
      <c r="O238" s="36" t="str">
        <f>Графік!P233</f>
        <v/>
      </c>
      <c r="P238" s="55" t="str">
        <f>Графік!Q233</f>
        <v/>
      </c>
    </row>
    <row r="239" spans="1:16" hidden="1" x14ac:dyDescent="0.25">
      <c r="A239" s="29" t="str">
        <f>Графік!A234</f>
        <v/>
      </c>
      <c r="B239" s="173" t="e">
        <f ca="1">Графік!C234</f>
        <v>#VALUE!</v>
      </c>
      <c r="C239" s="31" t="str">
        <f>Графік!D234</f>
        <v/>
      </c>
      <c r="D239" s="32" t="str">
        <f>Графік!E234</f>
        <v/>
      </c>
      <c r="E239" s="33" t="str">
        <f>Графік!H234</f>
        <v/>
      </c>
      <c r="F239" s="32" t="str">
        <f>Графік!F234</f>
        <v/>
      </c>
      <c r="G239" s="33" t="str">
        <f>Графік!G234</f>
        <v/>
      </c>
      <c r="H239" s="33" t="str">
        <f>Графік!M234</f>
        <v/>
      </c>
      <c r="I239" s="33"/>
      <c r="J239" s="53" t="str">
        <f>Графік!N234</f>
        <v/>
      </c>
      <c r="K239" s="33" t="str">
        <f>Графік!I234</f>
        <v/>
      </c>
      <c r="L239" s="33" t="str">
        <f>Графік!J234</f>
        <v/>
      </c>
      <c r="M239" s="34">
        <f>Графік!K234</f>
        <v>0</v>
      </c>
      <c r="N239" s="33" t="str">
        <f>Графік!L234</f>
        <v/>
      </c>
      <c r="O239" s="36" t="str">
        <f>Графік!P234</f>
        <v/>
      </c>
      <c r="P239" s="55" t="str">
        <f>Графік!Q234</f>
        <v/>
      </c>
    </row>
    <row r="240" spans="1:16" hidden="1" x14ac:dyDescent="0.25">
      <c r="A240" s="29" t="str">
        <f>Графік!A235</f>
        <v/>
      </c>
      <c r="B240" s="173" t="e">
        <f ca="1">Графік!C235</f>
        <v>#VALUE!</v>
      </c>
      <c r="C240" s="31" t="str">
        <f>Графік!D235</f>
        <v/>
      </c>
      <c r="D240" s="32" t="str">
        <f>Графік!E235</f>
        <v/>
      </c>
      <c r="E240" s="33" t="str">
        <f>Графік!H235</f>
        <v/>
      </c>
      <c r="F240" s="32" t="str">
        <f>Графік!F235</f>
        <v/>
      </c>
      <c r="G240" s="33" t="str">
        <f>Графік!G235</f>
        <v/>
      </c>
      <c r="H240" s="33" t="str">
        <f>Графік!M235</f>
        <v/>
      </c>
      <c r="I240" s="33"/>
      <c r="J240" s="53" t="str">
        <f>Графік!N235</f>
        <v/>
      </c>
      <c r="K240" s="33" t="str">
        <f>Графік!I235</f>
        <v/>
      </c>
      <c r="L240" s="33" t="str">
        <f>Графік!J235</f>
        <v/>
      </c>
      <c r="M240" s="34">
        <f>Графік!K235</f>
        <v>0</v>
      </c>
      <c r="N240" s="33" t="str">
        <f>Графік!L235</f>
        <v/>
      </c>
      <c r="O240" s="36" t="str">
        <f>Графік!P235</f>
        <v/>
      </c>
      <c r="P240" s="55" t="str">
        <f>Графік!Q235</f>
        <v/>
      </c>
    </row>
    <row r="241" spans="1:16" hidden="1" x14ac:dyDescent="0.25">
      <c r="A241" s="29" t="str">
        <f>Графік!A236</f>
        <v/>
      </c>
      <c r="B241" s="173" t="e">
        <f ca="1">Графік!C236</f>
        <v>#VALUE!</v>
      </c>
      <c r="C241" s="31" t="str">
        <f>Графік!D236</f>
        <v/>
      </c>
      <c r="D241" s="32" t="str">
        <f>Графік!E236</f>
        <v/>
      </c>
      <c r="E241" s="33" t="str">
        <f>Графік!H236</f>
        <v/>
      </c>
      <c r="F241" s="32" t="str">
        <f>Графік!F236</f>
        <v/>
      </c>
      <c r="G241" s="33" t="str">
        <f>Графік!G236</f>
        <v/>
      </c>
      <c r="H241" s="33" t="str">
        <f>Графік!M236</f>
        <v/>
      </c>
      <c r="I241" s="33"/>
      <c r="J241" s="53" t="str">
        <f>Графік!N236</f>
        <v/>
      </c>
      <c r="K241" s="33" t="str">
        <f>Графік!I236</f>
        <v/>
      </c>
      <c r="L241" s="33" t="str">
        <f>Графік!J236</f>
        <v/>
      </c>
      <c r="M241" s="34">
        <f>Графік!K236</f>
        <v>0</v>
      </c>
      <c r="N241" s="33" t="str">
        <f>Графік!L236</f>
        <v/>
      </c>
      <c r="O241" s="36" t="str">
        <f>Графік!P236</f>
        <v/>
      </c>
      <c r="P241" s="55" t="str">
        <f>Графік!Q236</f>
        <v/>
      </c>
    </row>
    <row r="242" spans="1:16" hidden="1" x14ac:dyDescent="0.25">
      <c r="A242" s="29" t="str">
        <f>Графік!A237</f>
        <v/>
      </c>
      <c r="B242" s="173" t="e">
        <f ca="1">Графік!C237</f>
        <v>#VALUE!</v>
      </c>
      <c r="C242" s="31" t="str">
        <f>Графік!D237</f>
        <v/>
      </c>
      <c r="D242" s="32" t="str">
        <f>Графік!E237</f>
        <v/>
      </c>
      <c r="E242" s="33" t="str">
        <f>Графік!H237</f>
        <v/>
      </c>
      <c r="F242" s="32" t="str">
        <f>Графік!F237</f>
        <v/>
      </c>
      <c r="G242" s="33" t="str">
        <f>Графік!G237</f>
        <v/>
      </c>
      <c r="H242" s="33" t="str">
        <f>Графік!M237</f>
        <v/>
      </c>
      <c r="I242" s="33"/>
      <c r="J242" s="53" t="str">
        <f>Графік!N237</f>
        <v/>
      </c>
      <c r="K242" s="33" t="str">
        <f>Графік!I237</f>
        <v/>
      </c>
      <c r="L242" s="33" t="str">
        <f>Графік!J237</f>
        <v/>
      </c>
      <c r="M242" s="34">
        <f>Графік!K237</f>
        <v>0</v>
      </c>
      <c r="N242" s="33" t="str">
        <f>Графік!L237</f>
        <v/>
      </c>
      <c r="O242" s="36" t="str">
        <f>Графік!P237</f>
        <v/>
      </c>
      <c r="P242" s="55" t="str">
        <f>Графік!Q237</f>
        <v/>
      </c>
    </row>
    <row r="243" spans="1:16" hidden="1" x14ac:dyDescent="0.25">
      <c r="A243" s="29" t="str">
        <f>Графік!A238</f>
        <v/>
      </c>
      <c r="B243" s="173" t="e">
        <f ca="1">Графік!C238</f>
        <v>#VALUE!</v>
      </c>
      <c r="C243" s="31" t="str">
        <f>Графік!D238</f>
        <v/>
      </c>
      <c r="D243" s="32" t="str">
        <f>Графік!E238</f>
        <v/>
      </c>
      <c r="E243" s="33" t="str">
        <f>Графік!H238</f>
        <v/>
      </c>
      <c r="F243" s="32" t="str">
        <f>Графік!F238</f>
        <v/>
      </c>
      <c r="G243" s="33" t="str">
        <f>Графік!G238</f>
        <v/>
      </c>
      <c r="H243" s="33" t="str">
        <f>Графік!M238</f>
        <v/>
      </c>
      <c r="I243" s="33"/>
      <c r="J243" s="53" t="str">
        <f>Графік!N238</f>
        <v/>
      </c>
      <c r="K243" s="33" t="str">
        <f>Графік!I238</f>
        <v/>
      </c>
      <c r="L243" s="33" t="str">
        <f>Графік!J238</f>
        <v/>
      </c>
      <c r="M243" s="34">
        <f>Графік!K238</f>
        <v>0</v>
      </c>
      <c r="N243" s="33" t="str">
        <f>Графік!L238</f>
        <v/>
      </c>
      <c r="O243" s="36" t="str">
        <f>Графік!P238</f>
        <v/>
      </c>
      <c r="P243" s="55" t="str">
        <f>Графік!Q238</f>
        <v/>
      </c>
    </row>
    <row r="244" spans="1:16" hidden="1" x14ac:dyDescent="0.25">
      <c r="A244" s="29" t="str">
        <f>Графік!A239</f>
        <v/>
      </c>
      <c r="B244" s="173" t="e">
        <f ca="1">Графік!C239</f>
        <v>#VALUE!</v>
      </c>
      <c r="C244" s="31" t="str">
        <f>Графік!D239</f>
        <v/>
      </c>
      <c r="D244" s="32" t="str">
        <f>Графік!E239</f>
        <v/>
      </c>
      <c r="E244" s="33" t="str">
        <f>Графік!H239</f>
        <v/>
      </c>
      <c r="F244" s="32" t="str">
        <f>Графік!F239</f>
        <v/>
      </c>
      <c r="G244" s="33" t="str">
        <f>Графік!G239</f>
        <v/>
      </c>
      <c r="H244" s="33" t="str">
        <f>Графік!M239</f>
        <v/>
      </c>
      <c r="I244" s="33"/>
      <c r="J244" s="53" t="str">
        <f>Графік!N239</f>
        <v/>
      </c>
      <c r="K244" s="33" t="str">
        <f>Графік!I239</f>
        <v/>
      </c>
      <c r="L244" s="33" t="str">
        <f>Графік!J239</f>
        <v/>
      </c>
      <c r="M244" s="34">
        <f>Графік!K239</f>
        <v>0</v>
      </c>
      <c r="N244" s="33" t="str">
        <f>Графік!L239</f>
        <v/>
      </c>
      <c r="O244" s="36" t="str">
        <f>Графік!P239</f>
        <v/>
      </c>
      <c r="P244" s="55" t="str">
        <f>Графік!Q239</f>
        <v/>
      </c>
    </row>
    <row r="245" spans="1:16" hidden="1" x14ac:dyDescent="0.25">
      <c r="A245" s="29" t="str">
        <f>Графік!A240</f>
        <v/>
      </c>
      <c r="B245" s="173" t="e">
        <f ca="1">Графік!C240</f>
        <v>#VALUE!</v>
      </c>
      <c r="C245" s="31" t="str">
        <f>Графік!D240</f>
        <v/>
      </c>
      <c r="D245" s="32" t="str">
        <f>Графік!E240</f>
        <v/>
      </c>
      <c r="E245" s="33" t="str">
        <f>Графік!H240</f>
        <v/>
      </c>
      <c r="F245" s="32" t="str">
        <f>Графік!F240</f>
        <v/>
      </c>
      <c r="G245" s="33" t="str">
        <f>Графік!G240</f>
        <v/>
      </c>
      <c r="H245" s="33" t="str">
        <f>Графік!M240</f>
        <v/>
      </c>
      <c r="I245" s="33"/>
      <c r="J245" s="53" t="str">
        <f>Графік!N240</f>
        <v/>
      </c>
      <c r="K245" s="33" t="str">
        <f>Графік!I240</f>
        <v/>
      </c>
      <c r="L245" s="33" t="str">
        <f>Графік!J240</f>
        <v/>
      </c>
      <c r="M245" s="34">
        <f>Графік!K240</f>
        <v>0</v>
      </c>
      <c r="N245" s="33" t="str">
        <f>Графік!L240</f>
        <v/>
      </c>
      <c r="O245" s="36" t="str">
        <f>Графік!P240</f>
        <v/>
      </c>
      <c r="P245" s="55" t="str">
        <f>Графік!Q240</f>
        <v/>
      </c>
    </row>
    <row r="246" spans="1:16" hidden="1" x14ac:dyDescent="0.25">
      <c r="A246" s="29" t="str">
        <f>Графік!A241</f>
        <v/>
      </c>
      <c r="B246" s="173" t="e">
        <f ca="1">Графік!C241</f>
        <v>#VALUE!</v>
      </c>
      <c r="C246" s="31" t="str">
        <f>Графік!D241</f>
        <v/>
      </c>
      <c r="D246" s="32" t="str">
        <f>Графік!E241</f>
        <v/>
      </c>
      <c r="E246" s="33" t="str">
        <f>Графік!H241</f>
        <v/>
      </c>
      <c r="F246" s="32" t="str">
        <f>Графік!F241</f>
        <v/>
      </c>
      <c r="G246" s="33" t="str">
        <f>Графік!G241</f>
        <v/>
      </c>
      <c r="H246" s="33" t="str">
        <f>Графік!M241</f>
        <v/>
      </c>
      <c r="I246" s="33"/>
      <c r="J246" s="53" t="str">
        <f>Графік!N241</f>
        <v/>
      </c>
      <c r="K246" s="33" t="str">
        <f>Графік!I241</f>
        <v/>
      </c>
      <c r="L246" s="33" t="str">
        <f>Графік!J241</f>
        <v/>
      </c>
      <c r="M246" s="33" t="str">
        <f>Графік!K241</f>
        <v/>
      </c>
      <c r="N246" s="33" t="str">
        <f>Графік!L241</f>
        <v/>
      </c>
      <c r="O246" s="36" t="str">
        <f>Графік!P241</f>
        <v/>
      </c>
      <c r="P246" s="55" t="str">
        <f>Графік!Q241</f>
        <v/>
      </c>
    </row>
    <row r="247" spans="1:16" hidden="1" x14ac:dyDescent="0.25">
      <c r="A247" s="29" t="str">
        <f>Графік!A242</f>
        <v/>
      </c>
      <c r="B247" s="173" t="e">
        <f ca="1">Графік!C242</f>
        <v>#VALUE!</v>
      </c>
      <c r="C247" s="31" t="str">
        <f>Графік!D242</f>
        <v/>
      </c>
      <c r="D247" s="32" t="str">
        <f>Графік!E242</f>
        <v/>
      </c>
      <c r="E247" s="33" t="str">
        <f>Графік!H242</f>
        <v/>
      </c>
      <c r="F247" s="32" t="str">
        <f>Графік!F242</f>
        <v/>
      </c>
      <c r="G247" s="33" t="str">
        <f>Графік!G242</f>
        <v/>
      </c>
      <c r="H247" s="33" t="str">
        <f>Графік!M242</f>
        <v/>
      </c>
      <c r="I247" s="33"/>
      <c r="J247" s="53" t="str">
        <f>Графік!N242</f>
        <v/>
      </c>
      <c r="K247" s="33" t="str">
        <f>Графік!I242</f>
        <v/>
      </c>
      <c r="L247" s="33" t="str">
        <f>Графік!J242</f>
        <v/>
      </c>
      <c r="M247" s="34">
        <f>Графік!K242</f>
        <v>0</v>
      </c>
      <c r="N247" s="33" t="str">
        <f>Графік!L242</f>
        <v/>
      </c>
      <c r="O247" s="36" t="str">
        <f>Графік!P242</f>
        <v/>
      </c>
      <c r="P247" s="55" t="str">
        <f>Графік!Q242</f>
        <v/>
      </c>
    </row>
    <row r="248" spans="1:16" hidden="1" x14ac:dyDescent="0.25">
      <c r="A248" s="29" t="str">
        <f>Графік!A243</f>
        <v/>
      </c>
      <c r="B248" s="173" t="e">
        <f ca="1">Графік!C243</f>
        <v>#VALUE!</v>
      </c>
      <c r="C248" s="31" t="str">
        <f>Графік!D243</f>
        <v/>
      </c>
      <c r="D248" s="32" t="str">
        <f>Графік!E243</f>
        <v/>
      </c>
      <c r="E248" s="33" t="str">
        <f>Графік!H243</f>
        <v/>
      </c>
      <c r="F248" s="32" t="str">
        <f>Графік!F243</f>
        <v/>
      </c>
      <c r="G248" s="33" t="str">
        <f>Графік!G243</f>
        <v/>
      </c>
      <c r="H248" s="33" t="str">
        <f>Графік!M243</f>
        <v/>
      </c>
      <c r="I248" s="33"/>
      <c r="J248" s="53" t="str">
        <f>Графік!N243</f>
        <v/>
      </c>
      <c r="K248" s="33" t="str">
        <f>Графік!I243</f>
        <v/>
      </c>
      <c r="L248" s="33" t="str">
        <f>Графік!J243</f>
        <v/>
      </c>
      <c r="M248" s="34">
        <f>Графік!K243</f>
        <v>0</v>
      </c>
      <c r="N248" s="33" t="str">
        <f>Графік!L243</f>
        <v/>
      </c>
      <c r="O248" s="36" t="str">
        <f>Графік!P243</f>
        <v/>
      </c>
      <c r="P248" s="55" t="str">
        <f>Графік!Q243</f>
        <v/>
      </c>
    </row>
    <row r="249" spans="1:16" hidden="1" x14ac:dyDescent="0.25">
      <c r="A249" s="29" t="str">
        <f>Графік!A244</f>
        <v/>
      </c>
      <c r="B249" s="173" t="e">
        <f ca="1">Графік!C244</f>
        <v>#VALUE!</v>
      </c>
      <c r="C249" s="31" t="str">
        <f>Графік!D244</f>
        <v/>
      </c>
      <c r="D249" s="32" t="str">
        <f>Графік!E244</f>
        <v/>
      </c>
      <c r="E249" s="33" t="str">
        <f>Графік!H244</f>
        <v/>
      </c>
      <c r="F249" s="32" t="str">
        <f>Графік!F244</f>
        <v/>
      </c>
      <c r="G249" s="33" t="str">
        <f>Графік!G244</f>
        <v/>
      </c>
      <c r="H249" s="33" t="str">
        <f>Графік!M244</f>
        <v/>
      </c>
      <c r="I249" s="33"/>
      <c r="J249" s="53" t="str">
        <f>Графік!N244</f>
        <v/>
      </c>
      <c r="K249" s="33" t="str">
        <f>Графік!I244</f>
        <v/>
      </c>
      <c r="L249" s="33" t="str">
        <f>Графік!J244</f>
        <v/>
      </c>
      <c r="M249" s="34">
        <f>Графік!K244</f>
        <v>0</v>
      </c>
      <c r="N249" s="33" t="str">
        <f>Графік!L244</f>
        <v/>
      </c>
      <c r="O249" s="36" t="str">
        <f>Графік!P244</f>
        <v/>
      </c>
      <c r="P249" s="55" t="str">
        <f>Графік!Q244</f>
        <v/>
      </c>
    </row>
    <row r="250" spans="1:16" hidden="1" x14ac:dyDescent="0.25">
      <c r="A250" s="29" t="str">
        <f>Графік!A245</f>
        <v/>
      </c>
      <c r="B250" s="173" t="e">
        <f ca="1">Графік!C245</f>
        <v>#VALUE!</v>
      </c>
      <c r="C250" s="31" t="str">
        <f>Графік!D245</f>
        <v/>
      </c>
      <c r="D250" s="32" t="str">
        <f>Графік!E245</f>
        <v/>
      </c>
      <c r="E250" s="33" t="str">
        <f>Графік!H245</f>
        <v/>
      </c>
      <c r="F250" s="32" t="str">
        <f>Графік!F245</f>
        <v/>
      </c>
      <c r="G250" s="33" t="str">
        <f>Графік!G245</f>
        <v/>
      </c>
      <c r="H250" s="33" t="str">
        <f>Графік!M245</f>
        <v/>
      </c>
      <c r="I250" s="33"/>
      <c r="J250" s="53" t="str">
        <f>Графік!N245</f>
        <v/>
      </c>
      <c r="K250" s="33" t="str">
        <f>Графік!I245</f>
        <v/>
      </c>
      <c r="L250" s="33" t="str">
        <f>Графік!J245</f>
        <v/>
      </c>
      <c r="M250" s="34">
        <f>Графік!K245</f>
        <v>0</v>
      </c>
      <c r="N250" s="33" t="str">
        <f>Графік!L245</f>
        <v/>
      </c>
      <c r="O250" s="36" t="str">
        <f>Графік!P245</f>
        <v/>
      </c>
      <c r="P250" s="55" t="str">
        <f>Графік!Q245</f>
        <v/>
      </c>
    </row>
    <row r="251" spans="1:16" hidden="1" x14ac:dyDescent="0.25">
      <c r="A251" s="29" t="str">
        <f>Графік!A246</f>
        <v/>
      </c>
      <c r="B251" s="173" t="e">
        <f ca="1">Графік!C246</f>
        <v>#VALUE!</v>
      </c>
      <c r="C251" s="31" t="str">
        <f>Графік!D246</f>
        <v/>
      </c>
      <c r="D251" s="32" t="str">
        <f>Графік!E246</f>
        <v/>
      </c>
      <c r="E251" s="33" t="str">
        <f>Графік!H246</f>
        <v/>
      </c>
      <c r="F251" s="32" t="str">
        <f>Графік!F246</f>
        <v/>
      </c>
      <c r="G251" s="33" t="str">
        <f>Графік!G246</f>
        <v/>
      </c>
      <c r="H251" s="33" t="str">
        <f>Графік!M246</f>
        <v/>
      </c>
      <c r="I251" s="33"/>
      <c r="J251" s="53" t="str">
        <f>Графік!N246</f>
        <v/>
      </c>
      <c r="K251" s="33" t="str">
        <f>Графік!I246</f>
        <v/>
      </c>
      <c r="L251" s="33" t="str">
        <f>Графік!J246</f>
        <v/>
      </c>
      <c r="M251" s="34">
        <f>Графік!K246</f>
        <v>0</v>
      </c>
      <c r="N251" s="33" t="str">
        <f>Графік!L246</f>
        <v/>
      </c>
      <c r="O251" s="36" t="str">
        <f>Графік!P246</f>
        <v/>
      </c>
      <c r="P251" s="55" t="str">
        <f>Графік!Q246</f>
        <v/>
      </c>
    </row>
    <row r="252" spans="1:16" hidden="1" x14ac:dyDescent="0.25">
      <c r="A252" s="29" t="str">
        <f>Графік!A247</f>
        <v/>
      </c>
      <c r="B252" s="173" t="e">
        <f ca="1">Графік!C247</f>
        <v>#VALUE!</v>
      </c>
      <c r="C252" s="31" t="str">
        <f>Графік!D247</f>
        <v/>
      </c>
      <c r="D252" s="32" t="str">
        <f>Графік!E247</f>
        <v/>
      </c>
      <c r="E252" s="33" t="str">
        <f>Графік!H247</f>
        <v/>
      </c>
      <c r="F252" s="32" t="str">
        <f>Графік!F247</f>
        <v/>
      </c>
      <c r="G252" s="33" t="str">
        <f>Графік!G247</f>
        <v/>
      </c>
      <c r="H252" s="33" t="str">
        <f>Графік!M247</f>
        <v/>
      </c>
      <c r="I252" s="33"/>
      <c r="J252" s="53" t="str">
        <f>Графік!N247</f>
        <v/>
      </c>
      <c r="K252" s="33" t="str">
        <f>Графік!I247</f>
        <v/>
      </c>
      <c r="L252" s="33" t="str">
        <f>Графік!J247</f>
        <v/>
      </c>
      <c r="M252" s="34">
        <f>Графік!K247</f>
        <v>0</v>
      </c>
      <c r="N252" s="33" t="str">
        <f>Графік!L247</f>
        <v/>
      </c>
      <c r="O252" s="36" t="str">
        <f>Графік!P247</f>
        <v/>
      </c>
      <c r="P252" s="55" t="str">
        <f>Графік!Q247</f>
        <v/>
      </c>
    </row>
    <row r="253" spans="1:16" hidden="1" x14ac:dyDescent="0.25">
      <c r="A253" s="29" t="str">
        <f>Графік!A248</f>
        <v/>
      </c>
      <c r="B253" s="173" t="e">
        <f ca="1">Графік!C248</f>
        <v>#VALUE!</v>
      </c>
      <c r="C253" s="31" t="str">
        <f>Графік!D248</f>
        <v/>
      </c>
      <c r="D253" s="32" t="str">
        <f>Графік!E248</f>
        <v/>
      </c>
      <c r="E253" s="33" t="str">
        <f>Графік!H248</f>
        <v/>
      </c>
      <c r="F253" s="32" t="str">
        <f>Графік!F248</f>
        <v/>
      </c>
      <c r="G253" s="33" t="str">
        <f>Графік!G248</f>
        <v/>
      </c>
      <c r="H253" s="33" t="str">
        <f>Графік!M248</f>
        <v/>
      </c>
      <c r="I253" s="33"/>
      <c r="J253" s="53" t="str">
        <f>Графік!N248</f>
        <v/>
      </c>
      <c r="K253" s="33" t="str">
        <f>Графік!I248</f>
        <v/>
      </c>
      <c r="L253" s="33" t="str">
        <f>Графік!J248</f>
        <v/>
      </c>
      <c r="M253" s="34">
        <f>Графік!K248</f>
        <v>0</v>
      </c>
      <c r="N253" s="33" t="str">
        <f>Графік!L248</f>
        <v/>
      </c>
      <c r="O253" s="36" t="str">
        <f>Графік!P248</f>
        <v/>
      </c>
      <c r="P253" s="55" t="str">
        <f>Графік!Q248</f>
        <v/>
      </c>
    </row>
    <row r="254" spans="1:16" hidden="1" x14ac:dyDescent="0.25">
      <c r="A254" s="29" t="str">
        <f>Графік!A249</f>
        <v/>
      </c>
      <c r="B254" s="173" t="e">
        <f ca="1">Графік!C249</f>
        <v>#VALUE!</v>
      </c>
      <c r="C254" s="31" t="str">
        <f>Графік!D249</f>
        <v/>
      </c>
      <c r="D254" s="32" t="str">
        <f>Графік!E249</f>
        <v/>
      </c>
      <c r="E254" s="33" t="str">
        <f>Графік!H249</f>
        <v/>
      </c>
      <c r="F254" s="32" t="str">
        <f>Графік!F249</f>
        <v/>
      </c>
      <c r="G254" s="33" t="str">
        <f>Графік!G249</f>
        <v/>
      </c>
      <c r="H254" s="33" t="str">
        <f>Графік!M249</f>
        <v/>
      </c>
      <c r="I254" s="33"/>
      <c r="J254" s="53" t="str">
        <f>Графік!N249</f>
        <v/>
      </c>
      <c r="K254" s="33" t="str">
        <f>Графік!I249</f>
        <v/>
      </c>
      <c r="L254" s="33" t="str">
        <f>Графік!J249</f>
        <v/>
      </c>
      <c r="M254" s="34">
        <f>Графік!K249</f>
        <v>0</v>
      </c>
      <c r="N254" s="33" t="str">
        <f>Графік!L249</f>
        <v/>
      </c>
      <c r="O254" s="36" t="str">
        <f>Графік!P249</f>
        <v/>
      </c>
      <c r="P254" s="55" t="str">
        <f>Графік!Q249</f>
        <v/>
      </c>
    </row>
    <row r="255" spans="1:16" hidden="1" x14ac:dyDescent="0.25">
      <c r="A255" s="29" t="str">
        <f>Графік!A250</f>
        <v/>
      </c>
      <c r="B255" s="173" t="e">
        <f ca="1">Графік!C250</f>
        <v>#VALUE!</v>
      </c>
      <c r="C255" s="31" t="str">
        <f>Графік!D250</f>
        <v/>
      </c>
      <c r="D255" s="32" t="str">
        <f>Графік!E250</f>
        <v/>
      </c>
      <c r="E255" s="33" t="str">
        <f>Графік!H250</f>
        <v/>
      </c>
      <c r="F255" s="32" t="str">
        <f>Графік!F250</f>
        <v/>
      </c>
      <c r="G255" s="33" t="str">
        <f>Графік!G250</f>
        <v/>
      </c>
      <c r="H255" s="33" t="str">
        <f>Графік!M250</f>
        <v/>
      </c>
      <c r="I255" s="33"/>
      <c r="J255" s="53" t="str">
        <f>Графік!N250</f>
        <v/>
      </c>
      <c r="K255" s="33" t="str">
        <f>Графік!I250</f>
        <v/>
      </c>
      <c r="L255" s="33" t="str">
        <f>Графік!J250</f>
        <v/>
      </c>
      <c r="M255" s="34">
        <f>Графік!K250</f>
        <v>0</v>
      </c>
      <c r="N255" s="33" t="str">
        <f>Графік!L250</f>
        <v/>
      </c>
      <c r="O255" s="36" t="str">
        <f>Графік!P250</f>
        <v/>
      </c>
      <c r="P255" s="55" t="str">
        <f>Графік!Q250</f>
        <v/>
      </c>
    </row>
    <row r="256" spans="1:16" hidden="1" x14ac:dyDescent="0.25">
      <c r="A256" s="29" t="str">
        <f>Графік!A251</f>
        <v/>
      </c>
      <c r="B256" s="173" t="e">
        <f ca="1">Графік!C251</f>
        <v>#VALUE!</v>
      </c>
      <c r="C256" s="31" t="str">
        <f>Графік!D251</f>
        <v/>
      </c>
      <c r="D256" s="32" t="str">
        <f>Графік!E251</f>
        <v/>
      </c>
      <c r="E256" s="33" t="str">
        <f>Графік!H251</f>
        <v/>
      </c>
      <c r="F256" s="32" t="str">
        <f>Графік!F251</f>
        <v/>
      </c>
      <c r="G256" s="33" t="str">
        <f>Графік!G251</f>
        <v/>
      </c>
      <c r="H256" s="33" t="str">
        <f>Графік!M251</f>
        <v/>
      </c>
      <c r="I256" s="33"/>
      <c r="J256" s="53" t="str">
        <f>Графік!N251</f>
        <v/>
      </c>
      <c r="K256" s="33" t="str">
        <f>Графік!I251</f>
        <v/>
      </c>
      <c r="L256" s="33" t="str">
        <f>Графік!J251</f>
        <v/>
      </c>
      <c r="M256" s="34">
        <f>Графік!K251</f>
        <v>0</v>
      </c>
      <c r="N256" s="33" t="str">
        <f>Графік!L251</f>
        <v/>
      </c>
      <c r="O256" s="36" t="str">
        <f>Графік!P251</f>
        <v/>
      </c>
      <c r="P256" s="55" t="str">
        <f>Графік!Q251</f>
        <v/>
      </c>
    </row>
    <row r="257" spans="1:16" hidden="1" x14ac:dyDescent="0.25">
      <c r="A257" s="29" t="str">
        <f>Графік!A252</f>
        <v/>
      </c>
      <c r="B257" s="173" t="e">
        <f ca="1">Графік!C252</f>
        <v>#VALUE!</v>
      </c>
      <c r="C257" s="31" t="str">
        <f>Графік!D252</f>
        <v/>
      </c>
      <c r="D257" s="32" t="str">
        <f>Графік!E252</f>
        <v/>
      </c>
      <c r="E257" s="33" t="str">
        <f>Графік!H252</f>
        <v/>
      </c>
      <c r="F257" s="32" t="str">
        <f>Графік!F252</f>
        <v/>
      </c>
      <c r="G257" s="33" t="str">
        <f>Графік!G252</f>
        <v/>
      </c>
      <c r="H257" s="33" t="str">
        <f>Графік!M252</f>
        <v/>
      </c>
      <c r="I257" s="33"/>
      <c r="J257" s="53" t="str">
        <f>Графік!N252</f>
        <v/>
      </c>
      <c r="K257" s="33" t="str">
        <f>Графік!I252</f>
        <v/>
      </c>
      <c r="L257" s="33" t="str">
        <f>Графік!J252</f>
        <v/>
      </c>
      <c r="M257" s="34">
        <f>Графік!K252</f>
        <v>0</v>
      </c>
      <c r="N257" s="33" t="str">
        <f>Графік!L252</f>
        <v/>
      </c>
      <c r="O257" s="36" t="str">
        <f>Графік!P252</f>
        <v/>
      </c>
      <c r="P257" s="55" t="str">
        <f>Графік!Q252</f>
        <v/>
      </c>
    </row>
    <row r="258" spans="1:16" hidden="1" x14ac:dyDescent="0.25">
      <c r="A258" s="29" t="str">
        <f>Графік!A253</f>
        <v/>
      </c>
      <c r="B258" s="173" t="e">
        <f ca="1">Графік!C253</f>
        <v>#VALUE!</v>
      </c>
      <c r="C258" s="31" t="str">
        <f>Графік!D253</f>
        <v/>
      </c>
      <c r="D258" s="32" t="str">
        <f>Графік!E253</f>
        <v/>
      </c>
      <c r="E258" s="33" t="str">
        <f>Графік!H253</f>
        <v/>
      </c>
      <c r="F258" s="32" t="str">
        <f>Графік!F253</f>
        <v/>
      </c>
      <c r="G258" s="33" t="str">
        <f>Графік!G253</f>
        <v/>
      </c>
      <c r="H258" s="33" t="str">
        <f>Графік!M253</f>
        <v/>
      </c>
      <c r="I258" s="33"/>
      <c r="J258" s="53" t="str">
        <f>Графік!N253</f>
        <v/>
      </c>
      <c r="K258" s="33" t="str">
        <f>Графік!I253</f>
        <v/>
      </c>
      <c r="L258" s="33" t="str">
        <f>Графік!J253</f>
        <v/>
      </c>
      <c r="M258" s="33" t="str">
        <f>Графік!K253</f>
        <v/>
      </c>
      <c r="N258" s="33" t="str">
        <f>Графік!L253</f>
        <v/>
      </c>
      <c r="O258" s="36" t="str">
        <f>Графік!P253</f>
        <v/>
      </c>
      <c r="P258" s="55" t="str">
        <f>Графік!Q253</f>
        <v/>
      </c>
    </row>
    <row r="259" spans="1:16" hidden="1" x14ac:dyDescent="0.25">
      <c r="A259" s="29" t="str">
        <f>Графік!A254</f>
        <v/>
      </c>
      <c r="B259" s="173" t="e">
        <f ca="1">Графік!C254</f>
        <v>#VALUE!</v>
      </c>
      <c r="C259" s="31" t="str">
        <f>Графік!D254</f>
        <v/>
      </c>
      <c r="D259" s="32" t="str">
        <f>Графік!E254</f>
        <v/>
      </c>
      <c r="E259" s="33" t="str">
        <f>Графік!H254</f>
        <v/>
      </c>
      <c r="F259" s="32" t="str">
        <f>Графік!F254</f>
        <v/>
      </c>
      <c r="G259" s="33" t="str">
        <f>Графік!G254</f>
        <v/>
      </c>
      <c r="H259" s="33" t="str">
        <f>Графік!M254</f>
        <v/>
      </c>
      <c r="I259" s="33"/>
      <c r="J259" s="53" t="str">
        <f>Графік!N254</f>
        <v/>
      </c>
      <c r="K259" s="33" t="str">
        <f>Графік!I254</f>
        <v/>
      </c>
      <c r="L259" s="33" t="str">
        <f>Графік!J254</f>
        <v/>
      </c>
      <c r="M259" s="33" t="str">
        <f>Графік!K254</f>
        <v/>
      </c>
      <c r="N259" s="33" t="str">
        <f>Графік!L254</f>
        <v/>
      </c>
      <c r="O259" s="36" t="str">
        <f>Графік!P254</f>
        <v/>
      </c>
      <c r="P259" s="55" t="str">
        <f>Графік!Q254</f>
        <v/>
      </c>
    </row>
    <row r="260" spans="1:16" hidden="1" x14ac:dyDescent="0.25">
      <c r="A260" s="29" t="str">
        <f>Графік!A255</f>
        <v/>
      </c>
      <c r="B260" s="173" t="e">
        <f ca="1">Графік!C255</f>
        <v>#VALUE!</v>
      </c>
      <c r="C260" s="31" t="str">
        <f>Графік!D255</f>
        <v/>
      </c>
      <c r="D260" s="32" t="str">
        <f>Графік!E255</f>
        <v/>
      </c>
      <c r="E260" s="33" t="str">
        <f>Графік!H255</f>
        <v/>
      </c>
      <c r="F260" s="32" t="str">
        <f>Графік!F255</f>
        <v/>
      </c>
      <c r="G260" s="33" t="str">
        <f>Графік!G255</f>
        <v/>
      </c>
      <c r="H260" s="33" t="str">
        <f>Графік!M255</f>
        <v/>
      </c>
      <c r="I260" s="33"/>
      <c r="J260" s="53" t="str">
        <f>Графік!N255</f>
        <v/>
      </c>
      <c r="K260" s="33" t="str">
        <f>Графік!I255</f>
        <v/>
      </c>
      <c r="L260" s="33" t="str">
        <f>Графік!J255</f>
        <v/>
      </c>
      <c r="M260" s="33" t="str">
        <f>Графік!K255</f>
        <v/>
      </c>
      <c r="N260" s="33" t="str">
        <f>Графік!L255</f>
        <v/>
      </c>
      <c r="O260" s="36" t="str">
        <f>Графік!P255</f>
        <v/>
      </c>
      <c r="P260" s="55" t="str">
        <f>Графік!Q255</f>
        <v/>
      </c>
    </row>
    <row r="261" spans="1:16" hidden="1" x14ac:dyDescent="0.25">
      <c r="A261" s="29" t="str">
        <f>Графік!A256</f>
        <v/>
      </c>
      <c r="B261" s="173" t="e">
        <f ca="1">Графік!C256</f>
        <v>#VALUE!</v>
      </c>
      <c r="C261" s="31" t="str">
        <f>Графік!D256</f>
        <v/>
      </c>
      <c r="D261" s="32" t="str">
        <f>Графік!E256</f>
        <v/>
      </c>
      <c r="E261" s="33" t="str">
        <f>Графік!H256</f>
        <v/>
      </c>
      <c r="F261" s="32" t="str">
        <f>Графік!F256</f>
        <v/>
      </c>
      <c r="G261" s="33" t="str">
        <f>Графік!G256</f>
        <v/>
      </c>
      <c r="H261" s="33" t="str">
        <f>Графік!M256</f>
        <v/>
      </c>
      <c r="I261" s="33"/>
      <c r="J261" s="53" t="str">
        <f>Графік!N256</f>
        <v/>
      </c>
      <c r="K261" s="33" t="str">
        <f>Графік!I256</f>
        <v/>
      </c>
      <c r="L261" s="33" t="str">
        <f>Графік!J256</f>
        <v/>
      </c>
      <c r="M261" s="33" t="str">
        <f>Графік!K256</f>
        <v/>
      </c>
      <c r="N261" s="33" t="str">
        <f>Графік!L256</f>
        <v/>
      </c>
      <c r="O261" s="36" t="str">
        <f>Графік!P256</f>
        <v/>
      </c>
      <c r="P261" s="55" t="str">
        <f>Графік!Q256</f>
        <v/>
      </c>
    </row>
    <row r="262" spans="1:16" hidden="1" x14ac:dyDescent="0.25">
      <c r="A262" s="29" t="str">
        <f>Графік!A257</f>
        <v/>
      </c>
      <c r="B262" s="173" t="e">
        <f ca="1">Графік!C257</f>
        <v>#VALUE!</v>
      </c>
      <c r="C262" s="31" t="str">
        <f>Графік!D257</f>
        <v/>
      </c>
      <c r="D262" s="32" t="str">
        <f>Графік!E257</f>
        <v/>
      </c>
      <c r="E262" s="33" t="str">
        <f>Графік!H257</f>
        <v/>
      </c>
      <c r="F262" s="32" t="str">
        <f>Графік!F257</f>
        <v/>
      </c>
      <c r="G262" s="33" t="str">
        <f>Графік!G257</f>
        <v/>
      </c>
      <c r="H262" s="33" t="str">
        <f>Графік!M257</f>
        <v/>
      </c>
      <c r="I262" s="33"/>
      <c r="J262" s="53" t="str">
        <f>Графік!N257</f>
        <v/>
      </c>
      <c r="K262" s="33" t="str">
        <f>Графік!I257</f>
        <v/>
      </c>
      <c r="L262" s="33" t="str">
        <f>Графік!J257</f>
        <v/>
      </c>
      <c r="M262" s="33" t="str">
        <f>Графік!K257</f>
        <v/>
      </c>
      <c r="N262" s="33" t="str">
        <f>Графік!L257</f>
        <v/>
      </c>
      <c r="O262" s="36" t="str">
        <f>Графік!P257</f>
        <v/>
      </c>
      <c r="P262" s="55" t="str">
        <f>Графік!Q257</f>
        <v/>
      </c>
    </row>
    <row r="263" spans="1:16" hidden="1" x14ac:dyDescent="0.25">
      <c r="A263" s="29" t="str">
        <f>Графік!A258</f>
        <v/>
      </c>
      <c r="B263" s="173" t="e">
        <f ca="1">Графік!C258</f>
        <v>#VALUE!</v>
      </c>
      <c r="C263" s="31" t="str">
        <f>Графік!D258</f>
        <v/>
      </c>
      <c r="D263" s="32" t="str">
        <f>Графік!E258</f>
        <v/>
      </c>
      <c r="E263" s="33" t="str">
        <f>Графік!H258</f>
        <v/>
      </c>
      <c r="F263" s="32" t="str">
        <f>Графік!F258</f>
        <v/>
      </c>
      <c r="G263" s="33" t="str">
        <f>Графік!G258</f>
        <v/>
      </c>
      <c r="H263" s="33" t="str">
        <f>Графік!M258</f>
        <v/>
      </c>
      <c r="I263" s="33"/>
      <c r="J263" s="53" t="str">
        <f>Графік!N258</f>
        <v/>
      </c>
      <c r="K263" s="33" t="str">
        <f>Графік!I258</f>
        <v/>
      </c>
      <c r="L263" s="33" t="str">
        <f>Графік!J258</f>
        <v/>
      </c>
      <c r="M263" s="33" t="str">
        <f>Графік!K258</f>
        <v/>
      </c>
      <c r="N263" s="33" t="str">
        <f>Графік!L258</f>
        <v/>
      </c>
      <c r="O263" s="36" t="str">
        <f>Графік!P258</f>
        <v/>
      </c>
      <c r="P263" s="55" t="str">
        <f>Графік!Q258</f>
        <v/>
      </c>
    </row>
    <row r="264" spans="1:16" hidden="1" x14ac:dyDescent="0.25">
      <c r="A264" s="29" t="str">
        <f>Графік!A259</f>
        <v/>
      </c>
      <c r="B264" s="173" t="e">
        <f ca="1">Графік!C259</f>
        <v>#VALUE!</v>
      </c>
      <c r="C264" s="31" t="str">
        <f>Графік!D259</f>
        <v/>
      </c>
      <c r="D264" s="32" t="str">
        <f>Графік!E259</f>
        <v/>
      </c>
      <c r="E264" s="33" t="str">
        <f>Графік!H259</f>
        <v/>
      </c>
      <c r="F264" s="32" t="str">
        <f>Графік!F259</f>
        <v/>
      </c>
      <c r="G264" s="33" t="str">
        <f>Графік!G259</f>
        <v/>
      </c>
      <c r="H264" s="33" t="str">
        <f>Графік!M259</f>
        <v/>
      </c>
      <c r="I264" s="33"/>
      <c r="J264" s="53" t="str">
        <f>Графік!N259</f>
        <v/>
      </c>
      <c r="K264" s="33" t="str">
        <f>Графік!I259</f>
        <v/>
      </c>
      <c r="L264" s="33" t="str">
        <f>Графік!J259</f>
        <v/>
      </c>
      <c r="M264" s="33" t="str">
        <f>Графік!K259</f>
        <v/>
      </c>
      <c r="N264" s="33" t="str">
        <f>Графік!L259</f>
        <v/>
      </c>
      <c r="O264" s="36" t="str">
        <f>Графік!P259</f>
        <v/>
      </c>
      <c r="P264" s="55" t="str">
        <f>Графік!Q259</f>
        <v/>
      </c>
    </row>
    <row r="265" spans="1:16" hidden="1" x14ac:dyDescent="0.25">
      <c r="A265" s="29" t="str">
        <f>Графік!A260</f>
        <v/>
      </c>
      <c r="B265" s="173" t="e">
        <f ca="1">Графік!C260</f>
        <v>#VALUE!</v>
      </c>
      <c r="C265" s="31" t="str">
        <f>Графік!D260</f>
        <v/>
      </c>
      <c r="D265" s="32" t="str">
        <f>Графік!E260</f>
        <v/>
      </c>
      <c r="E265" s="33" t="str">
        <f>Графік!H260</f>
        <v/>
      </c>
      <c r="F265" s="32" t="str">
        <f>Графік!F260</f>
        <v/>
      </c>
      <c r="G265" s="33" t="str">
        <f>Графік!G260</f>
        <v/>
      </c>
      <c r="H265" s="33" t="str">
        <f>Графік!M260</f>
        <v/>
      </c>
      <c r="I265" s="33"/>
      <c r="J265" s="53" t="str">
        <f>Графік!N260</f>
        <v/>
      </c>
      <c r="K265" s="33" t="str">
        <f>Графік!I260</f>
        <v/>
      </c>
      <c r="L265" s="33" t="str">
        <f>Графік!J260</f>
        <v/>
      </c>
      <c r="M265" s="33" t="str">
        <f>Графік!K260</f>
        <v/>
      </c>
      <c r="N265" s="33" t="str">
        <f>Графік!L260</f>
        <v/>
      </c>
      <c r="O265" s="36" t="str">
        <f>Графік!P260</f>
        <v/>
      </c>
      <c r="P265" s="55" t="str">
        <f>Графік!Q260</f>
        <v/>
      </c>
    </row>
    <row r="266" spans="1:16" hidden="1" x14ac:dyDescent="0.25">
      <c r="A266" s="29" t="str">
        <f>Графік!A261</f>
        <v/>
      </c>
      <c r="B266" s="173" t="e">
        <f ca="1">Графік!C261</f>
        <v>#VALUE!</v>
      </c>
      <c r="C266" s="31" t="str">
        <f>Графік!D261</f>
        <v/>
      </c>
      <c r="D266" s="32" t="str">
        <f>Графік!E261</f>
        <v/>
      </c>
      <c r="E266" s="33" t="str">
        <f>Графік!H261</f>
        <v/>
      </c>
      <c r="F266" s="32" t="str">
        <f>Графік!F261</f>
        <v/>
      </c>
      <c r="G266" s="33" t="str">
        <f>Графік!G261</f>
        <v/>
      </c>
      <c r="H266" s="33" t="str">
        <f>Графік!M261</f>
        <v/>
      </c>
      <c r="I266" s="33"/>
      <c r="J266" s="53" t="str">
        <f>Графік!N261</f>
        <v/>
      </c>
      <c r="K266" s="33" t="str">
        <f>Графік!I261</f>
        <v/>
      </c>
      <c r="L266" s="33" t="str">
        <f>Графік!J261</f>
        <v/>
      </c>
      <c r="M266" s="33" t="str">
        <f>Графік!K261</f>
        <v/>
      </c>
      <c r="N266" s="33" t="str">
        <f>Графік!L261</f>
        <v/>
      </c>
      <c r="O266" s="36" t="str">
        <f>Графік!P261</f>
        <v/>
      </c>
      <c r="P266" s="55" t="str">
        <f>Графік!Q261</f>
        <v/>
      </c>
    </row>
    <row r="267" spans="1:16" hidden="1" x14ac:dyDescent="0.25">
      <c r="A267" s="29" t="str">
        <f>Графік!A262</f>
        <v/>
      </c>
      <c r="B267" s="173" t="e">
        <f ca="1">Графік!C262</f>
        <v>#VALUE!</v>
      </c>
      <c r="C267" s="31" t="str">
        <f>Графік!D262</f>
        <v/>
      </c>
      <c r="D267" s="32" t="str">
        <f>Графік!E262</f>
        <v/>
      </c>
      <c r="E267" s="33" t="str">
        <f>Графік!H262</f>
        <v/>
      </c>
      <c r="F267" s="32" t="str">
        <f>Графік!F262</f>
        <v/>
      </c>
      <c r="G267" s="33" t="str">
        <f>Графік!G262</f>
        <v/>
      </c>
      <c r="H267" s="33" t="str">
        <f>Графік!M262</f>
        <v/>
      </c>
      <c r="I267" s="33"/>
      <c r="J267" s="53" t="str">
        <f>Графік!N262</f>
        <v/>
      </c>
      <c r="K267" s="33" t="str">
        <f>Графік!I262</f>
        <v/>
      </c>
      <c r="L267" s="33" t="str">
        <f>Графік!J262</f>
        <v/>
      </c>
      <c r="M267" s="33" t="str">
        <f>Графік!K262</f>
        <v/>
      </c>
      <c r="N267" s="33" t="str">
        <f>Графік!L262</f>
        <v/>
      </c>
      <c r="O267" s="36" t="str">
        <f>Графік!P262</f>
        <v/>
      </c>
      <c r="P267" s="55" t="str">
        <f>Графік!Q262</f>
        <v/>
      </c>
    </row>
    <row r="268" spans="1:16" hidden="1" x14ac:dyDescent="0.25">
      <c r="A268" s="29" t="str">
        <f>Графік!A263</f>
        <v/>
      </c>
      <c r="B268" s="173" t="e">
        <f ca="1">Графік!C263</f>
        <v>#VALUE!</v>
      </c>
      <c r="C268" s="31" t="str">
        <f>Графік!D263</f>
        <v/>
      </c>
      <c r="D268" s="32" t="str">
        <f>Графік!E263</f>
        <v/>
      </c>
      <c r="E268" s="33" t="str">
        <f>Графік!H263</f>
        <v/>
      </c>
      <c r="F268" s="32" t="str">
        <f>Графік!F263</f>
        <v/>
      </c>
      <c r="G268" s="33" t="str">
        <f>Графік!G263</f>
        <v/>
      </c>
      <c r="H268" s="33" t="str">
        <f>Графік!M263</f>
        <v/>
      </c>
      <c r="I268" s="33"/>
      <c r="J268" s="53" t="str">
        <f>Графік!N263</f>
        <v/>
      </c>
      <c r="K268" s="33" t="str">
        <f>Графік!I263</f>
        <v/>
      </c>
      <c r="L268" s="33" t="str">
        <f>Графік!J263</f>
        <v/>
      </c>
      <c r="M268" s="33" t="str">
        <f>Графік!K263</f>
        <v/>
      </c>
      <c r="N268" s="33" t="str">
        <f>Графік!L263</f>
        <v/>
      </c>
      <c r="O268" s="36" t="str">
        <f>Графік!P263</f>
        <v/>
      </c>
      <c r="P268" s="55" t="str">
        <f>Графік!Q263</f>
        <v/>
      </c>
    </row>
    <row r="269" spans="1:16" hidden="1" x14ac:dyDescent="0.25">
      <c r="A269" s="29" t="str">
        <f>Графік!A264</f>
        <v/>
      </c>
      <c r="B269" s="173" t="e">
        <f ca="1">Графік!C264</f>
        <v>#VALUE!</v>
      </c>
      <c r="C269" s="31" t="str">
        <f>Графік!D264</f>
        <v/>
      </c>
      <c r="D269" s="32" t="str">
        <f>Графік!E264</f>
        <v/>
      </c>
      <c r="E269" s="33" t="str">
        <f>Графік!H264</f>
        <v/>
      </c>
      <c r="F269" s="32" t="str">
        <f>Графік!F264</f>
        <v/>
      </c>
      <c r="G269" s="33" t="str">
        <f>Графік!G264</f>
        <v/>
      </c>
      <c r="H269" s="33" t="str">
        <f>Графік!M264</f>
        <v/>
      </c>
      <c r="I269" s="33"/>
      <c r="J269" s="34" t="str">
        <f>Графік!N264</f>
        <v/>
      </c>
      <c r="K269" s="33" t="str">
        <f>Графік!I264</f>
        <v/>
      </c>
      <c r="L269" s="33" t="str">
        <f>Графік!J264</f>
        <v/>
      </c>
      <c r="M269" s="33" t="str">
        <f>Графік!K264</f>
        <v/>
      </c>
      <c r="N269" s="33" t="str">
        <f>Графік!L264</f>
        <v/>
      </c>
      <c r="O269" s="36" t="str">
        <f>Графік!P264</f>
        <v/>
      </c>
      <c r="P269" s="55" t="str">
        <f>Графік!Q264</f>
        <v/>
      </c>
    </row>
    <row r="270" spans="1:16" x14ac:dyDescent="0.25">
      <c r="A270" s="29" t="str">
        <f>Графік!A265</f>
        <v/>
      </c>
      <c r="B270" s="173"/>
      <c r="C270" s="31">
        <f>Графік!D265</f>
        <v>0</v>
      </c>
      <c r="D270" s="32" t="str">
        <f>Графік!E265</f>
        <v/>
      </c>
      <c r="E270" s="33" t="str">
        <f>Графік!H265</f>
        <v/>
      </c>
      <c r="F270" s="32" t="str">
        <f>Графік!F265</f>
        <v/>
      </c>
      <c r="G270" s="33" t="str">
        <f>Графік!G265</f>
        <v/>
      </c>
      <c r="H270" s="33" t="str">
        <f>Графік!M265</f>
        <v/>
      </c>
      <c r="I270" s="33"/>
      <c r="J270" s="33" t="str">
        <f>Графік!N265</f>
        <v/>
      </c>
      <c r="K270" s="33" t="str">
        <f>Графік!I265</f>
        <v/>
      </c>
      <c r="L270" s="33" t="str">
        <f>Графік!J265</f>
        <v/>
      </c>
      <c r="M270" s="33" t="str">
        <f>Графік!K265</f>
        <v/>
      </c>
      <c r="N270" s="33" t="str">
        <f>Графік!L265</f>
        <v/>
      </c>
      <c r="O270" s="36" t="str">
        <f>Графік!P265</f>
        <v/>
      </c>
      <c r="P270" s="55" t="str">
        <f>Графік!Q265</f>
        <v/>
      </c>
    </row>
  </sheetData>
  <sheetProtection algorithmName="SHA-512" hashValue="cg0c4BpfQXMn0aXLbiYbjPm6grYp1OYezOBeS8qw4UM32MZekaWxZ63Vp57c3T7KLMZH9hcFMgoCi93v7Yemzw==" saltValue="Z9u6sD6MF47ojdxo536CBQ==" spinCount="100000" sheet="1" objects="1" scenarios="1"/>
  <mergeCells count="35">
    <mergeCell ref="N22:N23"/>
    <mergeCell ref="F21:J21"/>
    <mergeCell ref="O21:O28"/>
    <mergeCell ref="P21:P28"/>
    <mergeCell ref="A2:P2"/>
    <mergeCell ref="E4:F4"/>
    <mergeCell ref="E5:F5"/>
    <mergeCell ref="E6:F6"/>
    <mergeCell ref="E7:F7"/>
    <mergeCell ref="N5:O6"/>
    <mergeCell ref="N7:O8"/>
    <mergeCell ref="P7:P8"/>
    <mergeCell ref="A17:B17"/>
    <mergeCell ref="P5:P6"/>
    <mergeCell ref="E14:F14"/>
    <mergeCell ref="E8:F8"/>
    <mergeCell ref="E9:F9"/>
    <mergeCell ref="E11:F11"/>
    <mergeCell ref="E13:F13"/>
    <mergeCell ref="A15:F15"/>
    <mergeCell ref="A16:B16"/>
    <mergeCell ref="M22:M23"/>
    <mergeCell ref="A21:A28"/>
    <mergeCell ref="B21:B28"/>
    <mergeCell ref="F22:F28"/>
    <mergeCell ref="G22:G28"/>
    <mergeCell ref="H22:H27"/>
    <mergeCell ref="I22:I28"/>
    <mergeCell ref="K21:L21"/>
    <mergeCell ref="J22:J23"/>
    <mergeCell ref="K22:K23"/>
    <mergeCell ref="L22:L23"/>
    <mergeCell ref="C21:C28"/>
    <mergeCell ref="D21:D28"/>
    <mergeCell ref="E21:E28"/>
  </mergeCells>
  <pageMargins left="0.7" right="0.7" top="0.75" bottom="0.75" header="0.3" footer="0.3"/>
  <pageSetup paperSize="9" scale="54" fitToHeight="0" orientation="landscape" r:id="rId1"/>
  <ignoredErrors>
    <ignoredError sqref="E8:F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Паспорт</vt:lpstr>
      <vt:lpstr>Графік</vt:lpstr>
      <vt:lpstr>Дод 1 до дог.кред.</vt:lpstr>
      <vt:lpstr>Графік!Область_печати</vt:lpstr>
      <vt:lpstr>Паспорт!Область_печати</vt:lpstr>
    </vt:vector>
  </TitlesOfParts>
  <Company>Finline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Finline</cp:lastModifiedBy>
  <cp:lastPrinted>2019-05-28T12:26:56Z</cp:lastPrinted>
  <dcterms:created xsi:type="dcterms:W3CDTF">2017-10-13T07:54:03Z</dcterms:created>
  <dcterms:modified xsi:type="dcterms:W3CDTF">2021-11-23T11:36:37Z</dcterms:modified>
  <cp:contentStatus/>
</cp:coreProperties>
</file>